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pi.box.com/wopi/files/2044814500029/WOPIServiceId_TP_BOX_2/WOPIUserId_-/"/>
    </mc:Choice>
  </mc:AlternateContent>
  <xr:revisionPtr revIDLastSave="28" documentId="13_ncr:1_{5487B1F8-BEB9-42F7-8D49-9E90D76D2CBD}" xr6:coauthVersionLast="47" xr6:coauthVersionMax="47" xr10:uidLastSave="{8AEEB74A-BD7D-4B2C-8B5B-E1344B91291B}"/>
  <bookViews>
    <workbookView xWindow="28680" yWindow="-120" windowWidth="29040" windowHeight="15720" tabRatio="845" firstSheet="4" xr2:uid="{00000000-000D-0000-FFFF-FFFF00000000}"/>
  </bookViews>
  <sheets>
    <sheet name="表紙、目次(p.1)" sheetId="19" r:id="rId1"/>
    <sheet name="貸借対照表（連結 日本基準）(p.2) " sheetId="32" r:id="rId2"/>
    <sheet name="貸借対照表（連結 IFRS）(p.3)" sheetId="30" r:id="rId3"/>
    <sheet name="損益計算書（連結 日本基準）(p.4) " sheetId="33" r:id="rId4"/>
    <sheet name="損益計算書（連結 IFRS）(p.5)" sheetId="31" r:id="rId5"/>
    <sheet name="セグメント情報(p.6)" sheetId="10" r:id="rId6"/>
    <sheet name="主要グループ子会社(p.7)" sheetId="11" r:id="rId7"/>
    <sheet name="主要経営指標(p.8)" sheetId="12" r:id="rId8"/>
    <sheet name="補足指標(p.9)" sheetId="18" r:id="rId9"/>
    <sheet name="受注高、完工高、手持工事高(p.10)" sheetId="14" r:id="rId10"/>
    <sheet name="事業別連結業績の概要(p.11)  " sheetId="29" r:id="rId11"/>
    <sheet name="損益計算書・純資産の部・有利子負債" sheetId="1" state="hidden" r:id="rId12"/>
    <sheet name="中間期損益計算書・純資産の部" sheetId="3" state="hidden" r:id="rId13"/>
    <sheet name="別紙（６８期工事損益悪化要因）" sheetId="2" state="hidden" r:id="rId14"/>
  </sheets>
  <definedNames>
    <definedName name="_xlnm.Print_Area" localSheetId="5">'セグメント情報(p.6)'!$A$1:$J$46</definedName>
    <definedName name="_xlnm.Print_Area" localSheetId="10">'事業別連結業績の概要(p.11)  '!$A$1:$K$28</definedName>
    <definedName name="_xlnm.Print_Area" localSheetId="6">'主要グループ子会社(p.7)'!$A$1:$J$39</definedName>
    <definedName name="_xlnm.Print_Area" localSheetId="7">'主要経営指標(p.8)'!$A$1:$K$32</definedName>
    <definedName name="_xlnm.Print_Area" localSheetId="9">'受注高、完工高、手持工事高(p.10)'!$A$1:$K$114</definedName>
    <definedName name="_xlnm.Print_Area" localSheetId="4">'損益計算書（連結 IFRS）(p.5)'!$A$1:$H$28</definedName>
    <definedName name="_xlnm.Print_Area" localSheetId="3">'損益計算書（連結 日本基準）(p.4) '!$A$1:$F$37</definedName>
    <definedName name="_xlnm.Print_Area" localSheetId="11">損益計算書・純資産の部・有利子負債!$DD$5:$EH$72</definedName>
    <definedName name="_xlnm.Print_Area" localSheetId="2">'貸借対照表（連結 IFRS）(p.3)'!$A$1:$I$59</definedName>
    <definedName name="_xlnm.Print_Area" localSheetId="1">'貸借対照表（連結 日本基準）(p.2) '!$A$1:$G$92</definedName>
    <definedName name="_xlnm.Print_Area" localSheetId="0">'表紙、目次(p.1)'!$A$1:$I$32</definedName>
    <definedName name="_xlnm.Print_Area" localSheetId="8">'補足指標(p.9)'!$A$1:$K$17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Y67" i="1" l="1"/>
  <c r="CY54" i="1"/>
  <c r="CY51" i="1"/>
  <c r="CY56" i="1" s="1"/>
  <c r="CY58" i="1" s="1"/>
  <c r="CY35" i="1"/>
  <c r="CY13" i="1" l="1"/>
  <c r="CX51" i="1"/>
  <c r="CX22" i="1"/>
  <c r="CX11" i="1"/>
  <c r="CY17" i="1" l="1"/>
  <c r="CY72" i="1"/>
  <c r="CX67" i="1"/>
  <c r="CX72" i="1" s="1"/>
  <c r="CX54" i="1"/>
  <c r="CX56" i="1" s="1"/>
  <c r="CX41" i="1"/>
  <c r="CX40" i="1"/>
  <c r="CX39" i="1"/>
  <c r="CY22" i="1"/>
  <c r="CX18" i="1"/>
  <c r="CX17" i="1"/>
  <c r="CX12" i="1"/>
  <c r="CY11" i="1"/>
  <c r="CY9" i="1"/>
  <c r="CX9" i="1"/>
  <c r="CX19" i="1" l="1"/>
  <c r="CX23" i="1"/>
  <c r="CY18" i="1"/>
  <c r="CY68" i="1"/>
  <c r="CY73" i="1"/>
  <c r="CX68" i="1"/>
  <c r="CX73" i="1"/>
  <c r="CX27" i="1"/>
  <c r="CY69" i="1"/>
  <c r="CX69" i="1"/>
  <c r="CX58" i="1"/>
  <c r="CY12" i="1"/>
  <c r="CY23" i="1" l="1"/>
  <c r="CY19" i="1"/>
  <c r="CX28" i="1"/>
  <c r="CX24" i="1"/>
  <c r="CY24" i="1"/>
  <c r="CW67" i="1"/>
  <c r="CW54" i="1"/>
  <c r="CW51" i="1"/>
  <c r="CV35" i="1"/>
  <c r="CW35" i="1"/>
  <c r="CU35" i="1"/>
  <c r="CY27" i="1" l="1"/>
  <c r="CY28" i="1"/>
  <c r="CW13" i="1"/>
  <c r="CW11" i="1"/>
  <c r="CV51" i="1" l="1"/>
  <c r="CV17" i="1"/>
  <c r="CV22" i="1"/>
  <c r="CV11" i="1"/>
  <c r="CW72" i="1" l="1"/>
  <c r="CW56" i="1"/>
  <c r="CY32" i="1" s="1"/>
  <c r="CW17" i="1"/>
  <c r="CV67" i="1"/>
  <c r="CV72" i="1" s="1"/>
  <c r="CV54" i="1"/>
  <c r="CV56" i="1" s="1"/>
  <c r="CV41" i="1"/>
  <c r="CV40" i="1"/>
  <c r="CV39" i="1"/>
  <c r="CW22" i="1"/>
  <c r="CW12" i="1"/>
  <c r="CV12" i="1"/>
  <c r="CW9" i="1"/>
  <c r="CV9" i="1"/>
  <c r="CU67" i="1"/>
  <c r="CU53" i="1"/>
  <c r="CU54" i="1" s="1"/>
  <c r="CU13" i="1"/>
  <c r="CU11" i="1"/>
  <c r="CV69" i="1" l="1"/>
  <c r="CX32" i="1"/>
  <c r="CU18" i="1"/>
  <c r="CV68" i="1"/>
  <c r="CW58" i="1"/>
  <c r="CV18" i="1"/>
  <c r="CV23" i="1" s="1"/>
  <c r="CV27" i="1" s="1"/>
  <c r="CV58" i="1"/>
  <c r="CW68" i="1"/>
  <c r="CW18" i="1"/>
  <c r="CT54" i="1"/>
  <c r="CT41" i="1"/>
  <c r="CT40" i="1"/>
  <c r="CT39" i="1"/>
  <c r="CT35" i="1"/>
  <c r="CW23" i="1" l="1"/>
  <c r="CU23" i="1"/>
  <c r="CV73" i="1"/>
  <c r="CV24" i="1"/>
  <c r="CW73" i="1"/>
  <c r="CW69" i="1"/>
  <c r="CV19" i="1"/>
  <c r="CW27" i="1"/>
  <c r="CW19" i="1"/>
  <c r="CV28" i="1"/>
  <c r="CT67" i="1"/>
  <c r="CT68" i="1" s="1"/>
  <c r="CU51" i="1"/>
  <c r="CU56" i="1" s="1"/>
  <c r="CT51" i="1"/>
  <c r="CU22" i="1"/>
  <c r="CT22" i="1"/>
  <c r="CT17" i="1"/>
  <c r="CU17" i="1"/>
  <c r="CU12" i="1"/>
  <c r="CT11" i="1"/>
  <c r="CT18" i="1" s="1"/>
  <c r="CU9" i="1"/>
  <c r="CT9" i="1"/>
  <c r="CU27" i="1" l="1"/>
  <c r="CW24" i="1"/>
  <c r="CT72" i="1"/>
  <c r="CT56" i="1"/>
  <c r="CT23" i="1"/>
  <c r="CT27" i="1" s="1"/>
  <c r="CT19" i="1"/>
  <c r="CU68" i="1"/>
  <c r="CU72" i="1"/>
  <c r="CT12" i="1"/>
  <c r="CS67" i="1"/>
  <c r="CS53" i="1"/>
  <c r="CR54" i="1"/>
  <c r="CR51" i="1"/>
  <c r="CS35" i="1"/>
  <c r="CR56" i="1" l="1"/>
  <c r="CU58" i="1"/>
  <c r="CW32" i="1"/>
  <c r="CT58" i="1"/>
  <c r="CV32" i="1"/>
  <c r="CW28" i="1"/>
  <c r="CT73" i="1"/>
  <c r="CU73" i="1"/>
  <c r="CU69" i="1"/>
  <c r="CT69" i="1"/>
  <c r="CU19" i="1"/>
  <c r="CT24" i="1"/>
  <c r="CS13" i="1"/>
  <c r="CS11" i="1"/>
  <c r="CR35" i="1"/>
  <c r="CS18" i="1" l="1"/>
  <c r="CT28" i="1"/>
  <c r="CT32" i="1"/>
  <c r="CU24" i="1"/>
  <c r="CR22" i="1"/>
  <c r="BO22" i="3"/>
  <c r="BO17" i="3"/>
  <c r="BO11" i="3"/>
  <c r="BO18" i="3" s="1"/>
  <c r="CS23" i="1" l="1"/>
  <c r="CU28" i="1"/>
  <c r="CR67" i="1"/>
  <c r="CR68" i="1" s="1"/>
  <c r="CS54" i="1"/>
  <c r="CR58" i="1"/>
  <c r="CS51" i="1"/>
  <c r="CS22" i="1"/>
  <c r="CR17" i="1"/>
  <c r="CS17" i="1"/>
  <c r="CR11" i="1"/>
  <c r="CR18" i="1" s="1"/>
  <c r="CS9" i="1"/>
  <c r="CR9" i="1"/>
  <c r="BP13" i="3"/>
  <c r="BP17" i="3" s="1"/>
  <c r="BP11" i="3"/>
  <c r="BP18" i="3" s="1"/>
  <c r="BP22" i="3"/>
  <c r="BO12" i="3"/>
  <c r="BP9" i="3"/>
  <c r="BO9" i="3"/>
  <c r="CS27" i="1" l="1"/>
  <c r="CS56" i="1"/>
  <c r="CU32" i="1" s="1"/>
  <c r="CR72" i="1"/>
  <c r="CR73" i="1" s="1"/>
  <c r="CR69" i="1"/>
  <c r="CR19" i="1"/>
  <c r="CR23" i="1"/>
  <c r="CS19" i="1"/>
  <c r="CR12" i="1"/>
  <c r="CS68" i="1"/>
  <c r="CS72" i="1"/>
  <c r="CS12" i="1"/>
  <c r="BO23" i="3"/>
  <c r="BO24" i="3" s="1"/>
  <c r="BO19" i="3"/>
  <c r="BP23" i="3"/>
  <c r="BP19" i="3"/>
  <c r="BP12" i="3"/>
  <c r="CS58" i="1" l="1"/>
  <c r="CS69" i="1"/>
  <c r="CS73" i="1"/>
  <c r="CS24" i="1"/>
  <c r="CR24" i="1"/>
  <c r="CR27" i="1"/>
  <c r="BO27" i="3"/>
  <c r="BO28" i="3" s="1"/>
  <c r="BP24" i="3"/>
  <c r="BP27" i="3"/>
  <c r="BP28" i="3" s="1"/>
  <c r="CR28" i="1" l="1"/>
  <c r="CS28" i="1"/>
  <c r="CQ63" i="1"/>
  <c r="CQ53" i="1"/>
  <c r="CQ13" i="1"/>
  <c r="CP46" i="1"/>
  <c r="CP25" i="1"/>
  <c r="CN67" i="1" l="1"/>
  <c r="CN72" i="1" s="1"/>
  <c r="CO63" i="1"/>
  <c r="CO67" i="1" s="1"/>
  <c r="CN54" i="1"/>
  <c r="CO53" i="1"/>
  <c r="CO54" i="1" s="1"/>
  <c r="CO51" i="1"/>
  <c r="CN46" i="1"/>
  <c r="CN51" i="1" s="1"/>
  <c r="CN25" i="1"/>
  <c r="CO22" i="1"/>
  <c r="CN22" i="1"/>
  <c r="CN17" i="1"/>
  <c r="CO13" i="1"/>
  <c r="CO11" i="1"/>
  <c r="CO12" i="1" s="1"/>
  <c r="CN11" i="1"/>
  <c r="CN18" i="1" s="1"/>
  <c r="CN23" i="1" s="1"/>
  <c r="CO9" i="1"/>
  <c r="CN9" i="1"/>
  <c r="CO18" i="1" l="1"/>
  <c r="CO23" i="1" s="1"/>
  <c r="CN56" i="1"/>
  <c r="CN58" i="1" s="1"/>
  <c r="CO17" i="1"/>
  <c r="CN68" i="1"/>
  <c r="CO56" i="1"/>
  <c r="CO58" i="1" s="1"/>
  <c r="CN12" i="1"/>
  <c r="CN69" i="1"/>
  <c r="CN73" i="1"/>
  <c r="CO68" i="1"/>
  <c r="CO72" i="1"/>
  <c r="CN24" i="1"/>
  <c r="CN27" i="1"/>
  <c r="CO19" i="1"/>
  <c r="CN19" i="1"/>
  <c r="AU11" i="3"/>
  <c r="AU18" i="3" s="1"/>
  <c r="AW11" i="3"/>
  <c r="CN28" i="1" l="1"/>
  <c r="CO73" i="1"/>
  <c r="CO69" i="1"/>
  <c r="CO27" i="1"/>
  <c r="CO24" i="1"/>
  <c r="BM17" i="3"/>
  <c r="BN13" i="3"/>
  <c r="BN17" i="3" s="1"/>
  <c r="BN11" i="3"/>
  <c r="BN18" i="3" s="1"/>
  <c r="BN23" i="3" s="1"/>
  <c r="BN22" i="3"/>
  <c r="BM22" i="3"/>
  <c r="BM11" i="3"/>
  <c r="BM18" i="3" s="1"/>
  <c r="BM23" i="3" s="1"/>
  <c r="BM27" i="3" s="1"/>
  <c r="BN9" i="3"/>
  <c r="BM9" i="3"/>
  <c r="S11" i="3"/>
  <c r="S12" i="3" s="1"/>
  <c r="B9" i="3"/>
  <c r="C9" i="3"/>
  <c r="D9" i="3"/>
  <c r="B11" i="3"/>
  <c r="B12" i="3" s="1"/>
  <c r="C11" i="3"/>
  <c r="C12" i="3" s="1"/>
  <c r="D11" i="3"/>
  <c r="D12" i="3" s="1"/>
  <c r="B17" i="3"/>
  <c r="C17" i="3"/>
  <c r="D17" i="3"/>
  <c r="B22" i="3"/>
  <c r="C22" i="3"/>
  <c r="D22" i="3"/>
  <c r="T11" i="3"/>
  <c r="T12" i="3" s="1"/>
  <c r="U11" i="3"/>
  <c r="U12" i="3" s="1"/>
  <c r="V25" i="3"/>
  <c r="V11" i="3"/>
  <c r="V18" i="3" s="1"/>
  <c r="W25" i="3"/>
  <c r="W11" i="3"/>
  <c r="X25" i="3"/>
  <c r="Y25" i="3"/>
  <c r="Z25" i="3"/>
  <c r="AA11" i="3"/>
  <c r="AB11" i="3"/>
  <c r="AB12" i="3" s="1"/>
  <c r="AD11" i="3"/>
  <c r="AD12" i="3" s="1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E11" i="3"/>
  <c r="E18" i="3" s="1"/>
  <c r="F11" i="3"/>
  <c r="F18" i="3" s="1"/>
  <c r="G11" i="3"/>
  <c r="G12" i="3" s="1"/>
  <c r="H11" i="3"/>
  <c r="H12" i="3" s="1"/>
  <c r="I11" i="3"/>
  <c r="I18" i="3" s="1"/>
  <c r="J11" i="3"/>
  <c r="J18" i="3" s="1"/>
  <c r="K11" i="3"/>
  <c r="K18" i="3" s="1"/>
  <c r="L11" i="3"/>
  <c r="L12" i="3" s="1"/>
  <c r="M11" i="3"/>
  <c r="M18" i="3" s="1"/>
  <c r="M23" i="3" s="1"/>
  <c r="N11" i="3"/>
  <c r="N18" i="3" s="1"/>
  <c r="N23" i="3" s="1"/>
  <c r="O11" i="3"/>
  <c r="O18" i="3" s="1"/>
  <c r="P11" i="3"/>
  <c r="P12" i="3" s="1"/>
  <c r="Q11" i="3"/>
  <c r="Q18" i="3" s="1"/>
  <c r="R11" i="3"/>
  <c r="R12" i="3" s="1"/>
  <c r="W18" i="3"/>
  <c r="X11" i="3"/>
  <c r="X12" i="3" s="1"/>
  <c r="Y11" i="3"/>
  <c r="Y18" i="3" s="1"/>
  <c r="Y23" i="3" s="1"/>
  <c r="Z11" i="3"/>
  <c r="Z18" i="3" s="1"/>
  <c r="Z23" i="3" s="1"/>
  <c r="AA12" i="3"/>
  <c r="AC11" i="3"/>
  <c r="AC12" i="3" s="1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F12" i="3" l="1"/>
  <c r="AB18" i="3"/>
  <c r="AB23" i="3" s="1"/>
  <c r="AB27" i="3" s="1"/>
  <c r="AB28" i="3" s="1"/>
  <c r="CO28" i="1"/>
  <c r="B18" i="3"/>
  <c r="B19" i="3" s="1"/>
  <c r="C18" i="3"/>
  <c r="D18" i="3"/>
  <c r="E12" i="3"/>
  <c r="H18" i="3"/>
  <c r="H23" i="3" s="1"/>
  <c r="H27" i="3" s="1"/>
  <c r="H28" i="3" s="1"/>
  <c r="I12" i="3"/>
  <c r="J12" i="3"/>
  <c r="K12" i="3"/>
  <c r="L18" i="3"/>
  <c r="M12" i="3"/>
  <c r="BN19" i="3"/>
  <c r="BM19" i="3"/>
  <c r="BM12" i="3"/>
  <c r="BN12" i="3"/>
  <c r="P18" i="3"/>
  <c r="Q12" i="3"/>
  <c r="N19" i="3"/>
  <c r="J19" i="3"/>
  <c r="J23" i="3"/>
  <c r="F19" i="3"/>
  <c r="F23" i="3"/>
  <c r="Q23" i="3"/>
  <c r="Q19" i="3"/>
  <c r="I23" i="3"/>
  <c r="I19" i="3"/>
  <c r="M19" i="3"/>
  <c r="E19" i="3"/>
  <c r="E23" i="3"/>
  <c r="O23" i="3"/>
  <c r="O19" i="3"/>
  <c r="K19" i="3"/>
  <c r="K23" i="3"/>
  <c r="O12" i="3"/>
  <c r="N12" i="3"/>
  <c r="S18" i="3"/>
  <c r="S23" i="3" s="1"/>
  <c r="G18" i="3"/>
  <c r="T18" i="3"/>
  <c r="T23" i="3" s="1"/>
  <c r="R18" i="3"/>
  <c r="U18" i="3"/>
  <c r="V12" i="3"/>
  <c r="V19" i="3"/>
  <c r="V23" i="3"/>
  <c r="W23" i="3"/>
  <c r="W19" i="3"/>
  <c r="W12" i="3"/>
  <c r="X18" i="3"/>
  <c r="X23" i="3" s="1"/>
  <c r="X27" i="3" s="1"/>
  <c r="X28" i="3" s="1"/>
  <c r="Y19" i="3"/>
  <c r="Y12" i="3"/>
  <c r="Z19" i="3"/>
  <c r="Z12" i="3"/>
  <c r="AA18" i="3"/>
  <c r="AC18" i="3"/>
  <c r="AC23" i="3" s="1"/>
  <c r="AD18" i="3"/>
  <c r="BA66" i="1"/>
  <c r="BB66" i="1"/>
  <c r="AZ66" i="1"/>
  <c r="AY66" i="1"/>
  <c r="AW66" i="1"/>
  <c r="AX66" i="1"/>
  <c r="AV66" i="1"/>
  <c r="H19" i="3" l="1"/>
  <c r="P23" i="3"/>
  <c r="P24" i="3" s="1"/>
  <c r="B23" i="3"/>
  <c r="B27" i="3" s="1"/>
  <c r="B28" i="3" s="1"/>
  <c r="C19" i="3"/>
  <c r="C23" i="3"/>
  <c r="D19" i="3"/>
  <c r="D23" i="3"/>
  <c r="H24" i="3"/>
  <c r="L23" i="3"/>
  <c r="L19" i="3"/>
  <c r="BN27" i="3"/>
  <c r="BN28" i="3" s="1"/>
  <c r="BM24" i="3"/>
  <c r="BM28" i="3"/>
  <c r="P19" i="3"/>
  <c r="M27" i="3"/>
  <c r="M28" i="3" s="1"/>
  <c r="M24" i="3"/>
  <c r="J27" i="3"/>
  <c r="J28" i="3" s="1"/>
  <c r="J24" i="3"/>
  <c r="S19" i="3"/>
  <c r="O27" i="3"/>
  <c r="O28" i="3" s="1"/>
  <c r="O24" i="3"/>
  <c r="I27" i="3"/>
  <c r="I28" i="3" s="1"/>
  <c r="I24" i="3"/>
  <c r="K27" i="3"/>
  <c r="K28" i="3" s="1"/>
  <c r="K24" i="3"/>
  <c r="E27" i="3"/>
  <c r="E28" i="3" s="1"/>
  <c r="E24" i="3"/>
  <c r="F27" i="3"/>
  <c r="F28" i="3" s="1"/>
  <c r="F24" i="3"/>
  <c r="N27" i="3"/>
  <c r="N28" i="3" s="1"/>
  <c r="N24" i="3"/>
  <c r="G23" i="3"/>
  <c r="G19" i="3"/>
  <c r="Q27" i="3"/>
  <c r="Q28" i="3" s="1"/>
  <c r="Q24" i="3"/>
  <c r="T19" i="3"/>
  <c r="R19" i="3"/>
  <c r="R23" i="3"/>
  <c r="U19" i="3"/>
  <c r="U23" i="3"/>
  <c r="V24" i="3"/>
  <c r="V27" i="3"/>
  <c r="V28" i="3" s="1"/>
  <c r="W27" i="3"/>
  <c r="W28" i="3" s="1"/>
  <c r="W24" i="3"/>
  <c r="X24" i="3"/>
  <c r="X19" i="3"/>
  <c r="Y27" i="3"/>
  <c r="Y28" i="3" s="1"/>
  <c r="Y24" i="3"/>
  <c r="Z24" i="3"/>
  <c r="Z27" i="3"/>
  <c r="Z28" i="3" s="1"/>
  <c r="AA19" i="3"/>
  <c r="AA23" i="3"/>
  <c r="AB19" i="3"/>
  <c r="AB24" i="3"/>
  <c r="AC19" i="3"/>
  <c r="AD19" i="3"/>
  <c r="AD23" i="3"/>
  <c r="AT49" i="1"/>
  <c r="AS49" i="1"/>
  <c r="AR49" i="1"/>
  <c r="AR11" i="1"/>
  <c r="AQ49" i="1"/>
  <c r="AP49" i="1"/>
  <c r="AO49" i="1"/>
  <c r="P27" i="3" l="1"/>
  <c r="P28" i="3" s="1"/>
  <c r="B24" i="3"/>
  <c r="C24" i="3"/>
  <c r="C27" i="3"/>
  <c r="C28" i="3" s="1"/>
  <c r="D24" i="3"/>
  <c r="D27" i="3"/>
  <c r="D28" i="3" s="1"/>
  <c r="L27" i="3"/>
  <c r="L28" i="3" s="1"/>
  <c r="L24" i="3"/>
  <c r="BN24" i="3"/>
  <c r="G27" i="3"/>
  <c r="G28" i="3" s="1"/>
  <c r="G24" i="3"/>
  <c r="S27" i="3"/>
  <c r="S28" i="3" s="1"/>
  <c r="S24" i="3"/>
  <c r="T24" i="3"/>
  <c r="T27" i="3"/>
  <c r="T28" i="3" s="1"/>
  <c r="R27" i="3"/>
  <c r="R28" i="3" s="1"/>
  <c r="R24" i="3"/>
  <c r="U27" i="3"/>
  <c r="U28" i="3" s="1"/>
  <c r="U24" i="3"/>
  <c r="AA24" i="3"/>
  <c r="AA27" i="3"/>
  <c r="AA28" i="3" s="1"/>
  <c r="AC27" i="3"/>
  <c r="AC28" i="3" s="1"/>
  <c r="AC24" i="3"/>
  <c r="AD24" i="3"/>
  <c r="AD27" i="3"/>
  <c r="AD28" i="3" s="1"/>
  <c r="CQ67" i="1"/>
  <c r="AL11" i="1"/>
  <c r="AL18" i="1" s="1"/>
  <c r="AL23" i="1" s="1"/>
  <c r="AM11" i="1"/>
  <c r="AM18" i="1" s="1"/>
  <c r="AM23" i="1" s="1"/>
  <c r="AN11" i="1"/>
  <c r="AO11" i="1"/>
  <c r="AO12" i="1" s="1"/>
  <c r="AP11" i="1"/>
  <c r="AP18" i="1" s="1"/>
  <c r="AQ11" i="1"/>
  <c r="AQ18" i="1" s="1"/>
  <c r="AQ23" i="1" s="1"/>
  <c r="AS11" i="1"/>
  <c r="AS18" i="1" s="1"/>
  <c r="AT11" i="1"/>
  <c r="AT18" i="1" s="1"/>
  <c r="AT23" i="1" s="1"/>
  <c r="AU11" i="1"/>
  <c r="AU18" i="1" s="1"/>
  <c r="AU23" i="1" s="1"/>
  <c r="AV11" i="1"/>
  <c r="AV12" i="1" s="1"/>
  <c r="AW11" i="1"/>
  <c r="AW12" i="1" s="1"/>
  <c r="AX11" i="1"/>
  <c r="AX12" i="1" s="1"/>
  <c r="AY11" i="1"/>
  <c r="AY18" i="1" s="1"/>
  <c r="AY23" i="1" s="1"/>
  <c r="AK11" i="1"/>
  <c r="AK18" i="1" s="1"/>
  <c r="T11" i="1"/>
  <c r="T18" i="1" s="1"/>
  <c r="T23" i="1" s="1"/>
  <c r="W11" i="1"/>
  <c r="W12" i="1" s="1"/>
  <c r="AA11" i="1"/>
  <c r="AA12" i="1" s="1"/>
  <c r="Z11" i="1"/>
  <c r="Z12" i="1" s="1"/>
  <c r="AG11" i="1"/>
  <c r="AG12" i="1" s="1"/>
  <c r="AE11" i="1"/>
  <c r="AE12" i="1" s="1"/>
  <c r="AD11" i="1"/>
  <c r="AD18" i="1" s="1"/>
  <c r="AD23" i="1" s="1"/>
  <c r="AC11" i="1"/>
  <c r="AC18" i="1" s="1"/>
  <c r="AC23" i="1" s="1"/>
  <c r="S49" i="1"/>
  <c r="S48" i="1"/>
  <c r="R49" i="1"/>
  <c r="R48" i="1"/>
  <c r="Q49" i="1"/>
  <c r="Q48" i="1"/>
  <c r="L30" i="1"/>
  <c r="O49" i="1"/>
  <c r="O48" i="1"/>
  <c r="N49" i="1"/>
  <c r="N48" i="1"/>
  <c r="N46" i="1" s="1"/>
  <c r="N51" i="1" s="1"/>
  <c r="M49" i="1"/>
  <c r="M48" i="1"/>
  <c r="L49" i="1"/>
  <c r="L48" i="1"/>
  <c r="K48" i="1"/>
  <c r="K49" i="1"/>
  <c r="C71" i="1"/>
  <c r="D71" i="1"/>
  <c r="E71" i="1"/>
  <c r="F71" i="1"/>
  <c r="G71" i="1"/>
  <c r="CP54" i="1"/>
  <c r="CM54" i="1"/>
  <c r="CL54" i="1"/>
  <c r="CJ54" i="1"/>
  <c r="CH54" i="1"/>
  <c r="CG54" i="1"/>
  <c r="CF54" i="1"/>
  <c r="CE54" i="1"/>
  <c r="CD54" i="1"/>
  <c r="CC54" i="1"/>
  <c r="CB54" i="1"/>
  <c r="CA54" i="1"/>
  <c r="BZ54" i="1"/>
  <c r="BY54" i="1"/>
  <c r="BX54" i="1"/>
  <c r="BW54" i="1"/>
  <c r="BV54" i="1"/>
  <c r="BU54" i="1"/>
  <c r="BT54" i="1"/>
  <c r="BS54" i="1"/>
  <c r="BR54" i="1"/>
  <c r="BP54" i="1"/>
  <c r="BO54" i="1"/>
  <c r="BN54" i="1"/>
  <c r="BM54" i="1"/>
  <c r="BL54" i="1"/>
  <c r="BK54" i="1"/>
  <c r="BJ54" i="1"/>
  <c r="BI54" i="1"/>
  <c r="BH54" i="1"/>
  <c r="BG54" i="1"/>
  <c r="BF54" i="1"/>
  <c r="BE54" i="1"/>
  <c r="BD54" i="1"/>
  <c r="BC54" i="1"/>
  <c r="BB54" i="1"/>
  <c r="BA54" i="1"/>
  <c r="AZ54" i="1"/>
  <c r="AY54" i="1"/>
  <c r="AX54" i="1"/>
  <c r="AW54" i="1"/>
  <c r="AV54" i="1"/>
  <c r="AU54" i="1"/>
  <c r="AT54" i="1"/>
  <c r="AS54" i="1"/>
  <c r="AR54" i="1"/>
  <c r="AQ54" i="1"/>
  <c r="AP54" i="1"/>
  <c r="AO54" i="1"/>
  <c r="AN54" i="1"/>
  <c r="AM54" i="1"/>
  <c r="AL54" i="1"/>
  <c r="AK54" i="1"/>
  <c r="AJ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CQ54" i="1"/>
  <c r="CK53" i="1"/>
  <c r="CK54" i="1" s="1"/>
  <c r="CI53" i="1"/>
  <c r="CI54" i="1" s="1"/>
  <c r="CQ51" i="1"/>
  <c r="CM51" i="1"/>
  <c r="CK51" i="1"/>
  <c r="CI51" i="1"/>
  <c r="CG51" i="1"/>
  <c r="CE51" i="1"/>
  <c r="CE56" i="1" s="1"/>
  <c r="CE58" i="1" s="1"/>
  <c r="CC51" i="1"/>
  <c r="CA51" i="1"/>
  <c r="BY51" i="1"/>
  <c r="BW51" i="1"/>
  <c r="BW56" i="1" s="1"/>
  <c r="BW58" i="1" s="1"/>
  <c r="BU51" i="1"/>
  <c r="BS51" i="1"/>
  <c r="BP51" i="1"/>
  <c r="BN51" i="1"/>
  <c r="BL51" i="1"/>
  <c r="BJ51" i="1"/>
  <c r="BH51" i="1"/>
  <c r="BF51" i="1"/>
  <c r="BF56" i="1" s="1"/>
  <c r="BF58" i="1" s="1"/>
  <c r="G48" i="1"/>
  <c r="G46" i="1" s="1"/>
  <c r="G51" i="1" s="1"/>
  <c r="CP51" i="1"/>
  <c r="CL46" i="1"/>
  <c r="CL51" i="1" s="1"/>
  <c r="CL56" i="1" s="1"/>
  <c r="CJ46" i="1"/>
  <c r="CJ51" i="1" s="1"/>
  <c r="CJ56" i="1" s="1"/>
  <c r="CJ58" i="1" s="1"/>
  <c r="CH46" i="1"/>
  <c r="CH51" i="1" s="1"/>
  <c r="CF46" i="1"/>
  <c r="CF51" i="1" s="1"/>
  <c r="CF56" i="1" s="1"/>
  <c r="CF58" i="1" s="1"/>
  <c r="CD46" i="1"/>
  <c r="CD51" i="1" s="1"/>
  <c r="CB46" i="1"/>
  <c r="CB51" i="1" s="1"/>
  <c r="CB56" i="1" s="1"/>
  <c r="CB58" i="1" s="1"/>
  <c r="BZ46" i="1"/>
  <c r="BZ51" i="1" s="1"/>
  <c r="BX46" i="1"/>
  <c r="BX51" i="1" s="1"/>
  <c r="BX56" i="1" s="1"/>
  <c r="BX58" i="1" s="1"/>
  <c r="BV46" i="1"/>
  <c r="BV51" i="1" s="1"/>
  <c r="BT46" i="1"/>
  <c r="BT51" i="1" s="1"/>
  <c r="BT56" i="1" s="1"/>
  <c r="BT58" i="1" s="1"/>
  <c r="BR46" i="1"/>
  <c r="BR51" i="1" s="1"/>
  <c r="BR56" i="1" s="1"/>
  <c r="BR58" i="1" s="1"/>
  <c r="BO46" i="1"/>
  <c r="BO51" i="1" s="1"/>
  <c r="BO56" i="1" s="1"/>
  <c r="BO58" i="1" s="1"/>
  <c r="BM46" i="1"/>
  <c r="BM51" i="1" s="1"/>
  <c r="BK46" i="1"/>
  <c r="BK51" i="1" s="1"/>
  <c r="BK56" i="1" s="1"/>
  <c r="BK58" i="1" s="1"/>
  <c r="BI46" i="1"/>
  <c r="BI51" i="1" s="1"/>
  <c r="BI56" i="1" s="1"/>
  <c r="BI58" i="1" s="1"/>
  <c r="BG46" i="1"/>
  <c r="BG51" i="1" s="1"/>
  <c r="BG56" i="1" s="1"/>
  <c r="BG58" i="1" s="1"/>
  <c r="BE46" i="1"/>
  <c r="BE51" i="1" s="1"/>
  <c r="BD46" i="1"/>
  <c r="BD51" i="1" s="1"/>
  <c r="BC46" i="1"/>
  <c r="BC51" i="1" s="1"/>
  <c r="BB46" i="1"/>
  <c r="BB51" i="1" s="1"/>
  <c r="BA46" i="1"/>
  <c r="BA51" i="1" s="1"/>
  <c r="AZ46" i="1"/>
  <c r="AZ51" i="1" s="1"/>
  <c r="AY46" i="1"/>
  <c r="AY51" i="1" s="1"/>
  <c r="AY56" i="1" s="1"/>
  <c r="AY58" i="1" s="1"/>
  <c r="AX46" i="1"/>
  <c r="AX51" i="1" s="1"/>
  <c r="AW46" i="1"/>
  <c r="AW51" i="1" s="1"/>
  <c r="AV46" i="1"/>
  <c r="AV51" i="1" s="1"/>
  <c r="AU46" i="1"/>
  <c r="AU51" i="1" s="1"/>
  <c r="AT46" i="1"/>
  <c r="AT51" i="1" s="1"/>
  <c r="AS46" i="1"/>
  <c r="AS51" i="1" s="1"/>
  <c r="AR46" i="1"/>
  <c r="AR51" i="1" s="1"/>
  <c r="AQ46" i="1"/>
  <c r="AQ51" i="1" s="1"/>
  <c r="AQ56" i="1" s="1"/>
  <c r="AQ58" i="1" s="1"/>
  <c r="AP46" i="1"/>
  <c r="AP51" i="1" s="1"/>
  <c r="AO46" i="1"/>
  <c r="AO51" i="1" s="1"/>
  <c r="AN46" i="1"/>
  <c r="AN51" i="1" s="1"/>
  <c r="AM46" i="1"/>
  <c r="AM51" i="1" s="1"/>
  <c r="AL46" i="1"/>
  <c r="AL51" i="1" s="1"/>
  <c r="AK46" i="1"/>
  <c r="AK51" i="1" s="1"/>
  <c r="AJ46" i="1"/>
  <c r="AJ51" i="1" s="1"/>
  <c r="AH46" i="1"/>
  <c r="AH51" i="1" s="1"/>
  <c r="AH56" i="1" s="1"/>
  <c r="AH58" i="1" s="1"/>
  <c r="AG46" i="1"/>
  <c r="AG51" i="1" s="1"/>
  <c r="AF46" i="1"/>
  <c r="AF51" i="1" s="1"/>
  <c r="AE46" i="1"/>
  <c r="AE51" i="1" s="1"/>
  <c r="AD46" i="1"/>
  <c r="AD51" i="1" s="1"/>
  <c r="AC46" i="1"/>
  <c r="AC51" i="1" s="1"/>
  <c r="AB46" i="1"/>
  <c r="AB51" i="1" s="1"/>
  <c r="AA46" i="1"/>
  <c r="AA51" i="1" s="1"/>
  <c r="Z46" i="1"/>
  <c r="Z51" i="1" s="1"/>
  <c r="Z56" i="1" s="1"/>
  <c r="Z58" i="1" s="1"/>
  <c r="Y46" i="1"/>
  <c r="Y51" i="1" s="1"/>
  <c r="X46" i="1"/>
  <c r="X51" i="1" s="1"/>
  <c r="W46" i="1"/>
  <c r="W51" i="1" s="1"/>
  <c r="V46" i="1"/>
  <c r="V51" i="1" s="1"/>
  <c r="U46" i="1"/>
  <c r="U51" i="1" s="1"/>
  <c r="T46" i="1"/>
  <c r="T51" i="1" s="1"/>
  <c r="P46" i="1"/>
  <c r="P51" i="1" s="1"/>
  <c r="K46" i="1"/>
  <c r="K51" i="1" s="1"/>
  <c r="J46" i="1"/>
  <c r="J51" i="1" s="1"/>
  <c r="J56" i="1" s="1"/>
  <c r="J58" i="1" s="1"/>
  <c r="I46" i="1"/>
  <c r="I51" i="1" s="1"/>
  <c r="I56" i="1" s="1"/>
  <c r="I58" i="1" s="1"/>
  <c r="H46" i="1"/>
  <c r="H51" i="1" s="1"/>
  <c r="F46" i="1"/>
  <c r="F51" i="1" s="1"/>
  <c r="F56" i="1" s="1"/>
  <c r="F58" i="1" s="1"/>
  <c r="E46" i="1"/>
  <c r="E51" i="1" s="1"/>
  <c r="D46" i="1"/>
  <c r="D51" i="1" s="1"/>
  <c r="C46" i="1"/>
  <c r="C51" i="1" s="1"/>
  <c r="B46" i="1"/>
  <c r="B51" i="1" s="1"/>
  <c r="B56" i="1" s="1"/>
  <c r="B58" i="1" s="1"/>
  <c r="U26" i="1"/>
  <c r="B23" i="1"/>
  <c r="B27" i="1" s="1"/>
  <c r="CQ22" i="1"/>
  <c r="CP22" i="1"/>
  <c r="CM22" i="1"/>
  <c r="CL22" i="1"/>
  <c r="CK22" i="1"/>
  <c r="CJ22" i="1"/>
  <c r="CI22" i="1"/>
  <c r="CH22" i="1"/>
  <c r="CG22" i="1"/>
  <c r="CF22" i="1"/>
  <c r="CE22" i="1"/>
  <c r="CD22" i="1"/>
  <c r="CC22" i="1"/>
  <c r="CB22" i="1"/>
  <c r="CA22" i="1"/>
  <c r="BZ22" i="1"/>
  <c r="BY22" i="1"/>
  <c r="BX22" i="1"/>
  <c r="BW22" i="1"/>
  <c r="BV22" i="1"/>
  <c r="BU22" i="1"/>
  <c r="BT22" i="1"/>
  <c r="BS22" i="1"/>
  <c r="BR22" i="1"/>
  <c r="BP22" i="1"/>
  <c r="BO22" i="1"/>
  <c r="BN22" i="1"/>
  <c r="BM22" i="1"/>
  <c r="BL22" i="1"/>
  <c r="BK22" i="1"/>
  <c r="BJ22" i="1"/>
  <c r="BI22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J22" i="1"/>
  <c r="CP17" i="1"/>
  <c r="CM17" i="1"/>
  <c r="CL17" i="1"/>
  <c r="CK17" i="1"/>
  <c r="CJ17" i="1"/>
  <c r="CI17" i="1"/>
  <c r="CH17" i="1"/>
  <c r="CG17" i="1"/>
  <c r="CF17" i="1"/>
  <c r="CE17" i="1"/>
  <c r="CD17" i="1"/>
  <c r="CC17" i="1"/>
  <c r="CB17" i="1"/>
  <c r="CA17" i="1"/>
  <c r="BZ17" i="1"/>
  <c r="BY17" i="1"/>
  <c r="BX17" i="1"/>
  <c r="BW17" i="1"/>
  <c r="BV17" i="1"/>
  <c r="BU17" i="1"/>
  <c r="BT17" i="1"/>
  <c r="BS17" i="1"/>
  <c r="BR17" i="1"/>
  <c r="BP17" i="1"/>
  <c r="BO17" i="1"/>
  <c r="BN17" i="1"/>
  <c r="BM17" i="1"/>
  <c r="BL17" i="1"/>
  <c r="BK17" i="1"/>
  <c r="BJ17" i="1"/>
  <c r="BI17" i="1"/>
  <c r="BH17" i="1"/>
  <c r="BG17" i="1"/>
  <c r="BF17" i="1"/>
  <c r="BE17" i="1"/>
  <c r="BD17" i="1"/>
  <c r="BC17" i="1"/>
  <c r="BB17" i="1"/>
  <c r="BA17" i="1"/>
  <c r="AZ17" i="1"/>
  <c r="AY17" i="1"/>
  <c r="AX17" i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C17" i="1"/>
  <c r="D15" i="1"/>
  <c r="D10" i="1" s="1"/>
  <c r="D11" i="1" s="1"/>
  <c r="CQ17" i="1"/>
  <c r="CQ11" i="1"/>
  <c r="CP11" i="1"/>
  <c r="CP18" i="1" s="1"/>
  <c r="CP23" i="1" s="1"/>
  <c r="CM11" i="1"/>
  <c r="CM12" i="1" s="1"/>
  <c r="CL11" i="1"/>
  <c r="CL18" i="1" s="1"/>
  <c r="CL23" i="1" s="1"/>
  <c r="CK11" i="1"/>
  <c r="CJ11" i="1"/>
  <c r="CJ12" i="1" s="1"/>
  <c r="CI11" i="1"/>
  <c r="CH11" i="1"/>
  <c r="CH18" i="1" s="1"/>
  <c r="CG11" i="1"/>
  <c r="CG12" i="1" s="1"/>
  <c r="CF11" i="1"/>
  <c r="CF18" i="1" s="1"/>
  <c r="CF23" i="1" s="1"/>
  <c r="CE11" i="1"/>
  <c r="CE12" i="1" s="1"/>
  <c r="CD11" i="1"/>
  <c r="CD18" i="1" s="1"/>
  <c r="CD23" i="1" s="1"/>
  <c r="CC11" i="1"/>
  <c r="CB11" i="1"/>
  <c r="CB18" i="1" s="1"/>
  <c r="CA11" i="1"/>
  <c r="CA18" i="1" s="1"/>
  <c r="CA19" i="1" s="1"/>
  <c r="BZ11" i="1"/>
  <c r="BZ18" i="1" s="1"/>
  <c r="BY11" i="1"/>
  <c r="BY12" i="1" s="1"/>
  <c r="BX11" i="1"/>
  <c r="BX18" i="1" s="1"/>
  <c r="BX23" i="1" s="1"/>
  <c r="BW11" i="1"/>
  <c r="BW18" i="1" s="1"/>
  <c r="BV11" i="1"/>
  <c r="BV18" i="1" s="1"/>
  <c r="BV23" i="1" s="1"/>
  <c r="BU11" i="1"/>
  <c r="BT11" i="1"/>
  <c r="BT12" i="1" s="1"/>
  <c r="BS11" i="1"/>
  <c r="BS18" i="1" s="1"/>
  <c r="BS23" i="1" s="1"/>
  <c r="BR11" i="1"/>
  <c r="BR18" i="1" s="1"/>
  <c r="BP11" i="1"/>
  <c r="BP12" i="1" s="1"/>
  <c r="BO11" i="1"/>
  <c r="BO18" i="1" s="1"/>
  <c r="BO23" i="1" s="1"/>
  <c r="BN11" i="1"/>
  <c r="BN12" i="1" s="1"/>
  <c r="BM11" i="1"/>
  <c r="BM18" i="1" s="1"/>
  <c r="BM23" i="1" s="1"/>
  <c r="BL11" i="1"/>
  <c r="BK11" i="1"/>
  <c r="BK18" i="1" s="1"/>
  <c r="BJ11" i="1"/>
  <c r="BJ18" i="1" s="1"/>
  <c r="BJ23" i="1" s="1"/>
  <c r="BI11" i="1"/>
  <c r="BI18" i="1" s="1"/>
  <c r="BH11" i="1"/>
  <c r="BH12" i="1" s="1"/>
  <c r="BG11" i="1"/>
  <c r="BG18" i="1" s="1"/>
  <c r="BG23" i="1" s="1"/>
  <c r="BF11" i="1"/>
  <c r="BF18" i="1" s="1"/>
  <c r="BE11" i="1"/>
  <c r="BE18" i="1" s="1"/>
  <c r="BE19" i="1" s="1"/>
  <c r="BD11" i="1"/>
  <c r="BD12" i="1" s="1"/>
  <c r="BC11" i="1"/>
  <c r="BC18" i="1" s="1"/>
  <c r="BB11" i="1"/>
  <c r="BB18" i="1" s="1"/>
  <c r="BA11" i="1"/>
  <c r="BA18" i="1" s="1"/>
  <c r="BA23" i="1" s="1"/>
  <c r="AZ11" i="1"/>
  <c r="AZ12" i="1" s="1"/>
  <c r="AW18" i="1"/>
  <c r="AW23" i="1" s="1"/>
  <c r="AR12" i="1"/>
  <c r="AN12" i="1"/>
  <c r="AJ11" i="1"/>
  <c r="AJ12" i="1" s="1"/>
  <c r="AH11" i="1"/>
  <c r="AH18" i="1" s="1"/>
  <c r="AH23" i="1" s="1"/>
  <c r="AF11" i="1"/>
  <c r="AF12" i="1" s="1"/>
  <c r="AB11" i="1"/>
  <c r="AB18" i="1" s="1"/>
  <c r="Y11" i="1"/>
  <c r="Y12" i="1" s="1"/>
  <c r="X11" i="1"/>
  <c r="V11" i="1"/>
  <c r="V18" i="1" s="1"/>
  <c r="U11" i="1"/>
  <c r="U12" i="1" s="1"/>
  <c r="S11" i="1"/>
  <c r="S12" i="1" s="1"/>
  <c r="R11" i="1"/>
  <c r="Q11" i="1"/>
  <c r="Q18" i="1" s="1"/>
  <c r="P11" i="1"/>
  <c r="P18" i="1" s="1"/>
  <c r="P23" i="1" s="1"/>
  <c r="O11" i="1"/>
  <c r="O12" i="1" s="1"/>
  <c r="N11" i="1"/>
  <c r="N18" i="1" s="1"/>
  <c r="M11" i="1"/>
  <c r="M12" i="1" s="1"/>
  <c r="L11" i="1"/>
  <c r="K11" i="1"/>
  <c r="K12" i="1" s="1"/>
  <c r="J11" i="1"/>
  <c r="J18" i="1" s="1"/>
  <c r="J23" i="1" s="1"/>
  <c r="I11" i="1"/>
  <c r="I18" i="1" s="1"/>
  <c r="H11" i="1"/>
  <c r="F11" i="1"/>
  <c r="F18" i="1" s="1"/>
  <c r="F19" i="1" s="1"/>
  <c r="E11" i="1"/>
  <c r="E12" i="1" s="1"/>
  <c r="CQ9" i="1"/>
  <c r="CP9" i="1"/>
  <c r="CM9" i="1"/>
  <c r="CL9" i="1"/>
  <c r="CK9" i="1"/>
  <c r="CJ9" i="1"/>
  <c r="CI9" i="1"/>
  <c r="CH9" i="1"/>
  <c r="CG9" i="1"/>
  <c r="CF9" i="1"/>
  <c r="CE9" i="1"/>
  <c r="CD9" i="1"/>
  <c r="CC9" i="1"/>
  <c r="CB9" i="1"/>
  <c r="CA9" i="1"/>
  <c r="BZ9" i="1"/>
  <c r="BY9" i="1"/>
  <c r="BX9" i="1"/>
  <c r="BW9" i="1"/>
  <c r="BV9" i="1"/>
  <c r="BU9" i="1"/>
  <c r="BT9" i="1"/>
  <c r="BS9" i="1"/>
  <c r="BR9" i="1"/>
  <c r="BP9" i="1"/>
  <c r="BO9" i="1"/>
  <c r="BN9" i="1"/>
  <c r="BM9" i="1"/>
  <c r="BL9" i="1"/>
  <c r="BK9" i="1"/>
  <c r="BJ9" i="1"/>
  <c r="BI9" i="1"/>
  <c r="BH9" i="1"/>
  <c r="BG9" i="1"/>
  <c r="BF9" i="1"/>
  <c r="BE9" i="1"/>
  <c r="BD9" i="1"/>
  <c r="BC9" i="1"/>
  <c r="BB9" i="1"/>
  <c r="BA9" i="1"/>
  <c r="AZ9" i="1"/>
  <c r="AY9" i="1"/>
  <c r="AX9" i="1"/>
  <c r="AW9" i="1"/>
  <c r="AV9" i="1"/>
  <c r="AU9" i="1"/>
  <c r="AT9" i="1"/>
  <c r="AS9" i="1"/>
  <c r="AR9" i="1"/>
  <c r="AQ9" i="1"/>
  <c r="AP9" i="1"/>
  <c r="AO9" i="1"/>
  <c r="AN9" i="1"/>
  <c r="AM9" i="1"/>
  <c r="AL9" i="1"/>
  <c r="AK9" i="1"/>
  <c r="AJ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F9" i="1"/>
  <c r="E9" i="1"/>
  <c r="D9" i="1"/>
  <c r="G8" i="1"/>
  <c r="C7" i="1"/>
  <c r="C8" i="1" s="1"/>
  <c r="Q46" i="1" l="1"/>
  <c r="Q51" i="1" s="1"/>
  <c r="BB56" i="1"/>
  <c r="BB58" i="1" s="1"/>
  <c r="Z18" i="1"/>
  <c r="Z23" i="1" s="1"/>
  <c r="Z27" i="1" s="1"/>
  <c r="Z28" i="1" s="1"/>
  <c r="BZ56" i="1"/>
  <c r="BZ58" i="1" s="1"/>
  <c r="BN56" i="1"/>
  <c r="BN58" i="1" s="1"/>
  <c r="CQ12" i="1"/>
  <c r="CQ68" i="1"/>
  <c r="E56" i="1"/>
  <c r="E58" i="1" s="1"/>
  <c r="CI56" i="1"/>
  <c r="CI58" i="1" s="1"/>
  <c r="CL58" i="1"/>
  <c r="CN32" i="1"/>
  <c r="C56" i="1"/>
  <c r="C58" i="1" s="1"/>
  <c r="R46" i="1"/>
  <c r="R51" i="1" s="1"/>
  <c r="R56" i="1" s="1"/>
  <c r="R58" i="1" s="1"/>
  <c r="AY12" i="1"/>
  <c r="D56" i="1"/>
  <c r="D58" i="1" s="1"/>
  <c r="P56" i="1"/>
  <c r="P58" i="1" s="1"/>
  <c r="W56" i="1"/>
  <c r="W58" i="1" s="1"/>
  <c r="AA56" i="1"/>
  <c r="AA58" i="1" s="1"/>
  <c r="AE56" i="1"/>
  <c r="AE58" i="1" s="1"/>
  <c r="AJ56" i="1"/>
  <c r="AJ58" i="1" s="1"/>
  <c r="AN56" i="1"/>
  <c r="AN58" i="1" s="1"/>
  <c r="AZ56" i="1"/>
  <c r="AZ58" i="1" s="1"/>
  <c r="CQ72" i="1"/>
  <c r="AC12" i="1"/>
  <c r="CK56" i="1"/>
  <c r="CK58" i="1" s="1"/>
  <c r="T56" i="1"/>
  <c r="T58" i="1" s="1"/>
  <c r="X56" i="1"/>
  <c r="X58" i="1" s="1"/>
  <c r="AB56" i="1"/>
  <c r="AB58" i="1" s="1"/>
  <c r="AF56" i="1"/>
  <c r="AF58" i="1" s="1"/>
  <c r="AK56" i="1"/>
  <c r="AO56" i="1"/>
  <c r="AO58" i="1" s="1"/>
  <c r="AS56" i="1"/>
  <c r="AS58" i="1" s="1"/>
  <c r="AW56" i="1"/>
  <c r="AW58" i="1" s="1"/>
  <c r="BA56" i="1"/>
  <c r="BA58" i="1" s="1"/>
  <c r="BE56" i="1"/>
  <c r="BE58" i="1" s="1"/>
  <c r="BM56" i="1"/>
  <c r="BM58" i="1" s="1"/>
  <c r="BV56" i="1"/>
  <c r="BV58" i="1" s="1"/>
  <c r="CD56" i="1"/>
  <c r="CD58" i="1" s="1"/>
  <c r="BT18" i="1"/>
  <c r="BT19" i="1" s="1"/>
  <c r="BO12" i="1"/>
  <c r="S46" i="1"/>
  <c r="S51" i="1" s="1"/>
  <c r="S56" i="1" s="1"/>
  <c r="S58" i="1" s="1"/>
  <c r="L46" i="1"/>
  <c r="L51" i="1" s="1"/>
  <c r="L56" i="1" s="1"/>
  <c r="L58" i="1" s="1"/>
  <c r="CJ18" i="1"/>
  <c r="CJ19" i="1" s="1"/>
  <c r="AF18" i="1"/>
  <c r="AF23" i="1" s="1"/>
  <c r="E18" i="1"/>
  <c r="E23" i="1" s="1"/>
  <c r="E24" i="1" s="1"/>
  <c r="BO19" i="1"/>
  <c r="U56" i="1"/>
  <c r="U58" i="1" s="1"/>
  <c r="Y56" i="1"/>
  <c r="Y58" i="1" s="1"/>
  <c r="AC56" i="1"/>
  <c r="AC58" i="1" s="1"/>
  <c r="AG56" i="1"/>
  <c r="AG58" i="1" s="1"/>
  <c r="AL56" i="1"/>
  <c r="AL58" i="1" s="1"/>
  <c r="AP56" i="1"/>
  <c r="AP58" i="1" s="1"/>
  <c r="AT56" i="1"/>
  <c r="AT58" i="1" s="1"/>
  <c r="AX56" i="1"/>
  <c r="AX58" i="1" s="1"/>
  <c r="BJ56" i="1"/>
  <c r="BJ58" i="1" s="1"/>
  <c r="BS56" i="1"/>
  <c r="BS58" i="1" s="1"/>
  <c r="CA56" i="1"/>
  <c r="CA58" i="1" s="1"/>
  <c r="I12" i="1"/>
  <c r="CH56" i="1"/>
  <c r="CH58" i="1" s="1"/>
  <c r="Q56" i="1"/>
  <c r="Q58" i="1" s="1"/>
  <c r="CQ56" i="1"/>
  <c r="CQ69" i="1" s="1"/>
  <c r="CP56" i="1"/>
  <c r="CH12" i="1"/>
  <c r="Y18" i="1"/>
  <c r="Y19" i="1" s="1"/>
  <c r="Q12" i="1"/>
  <c r="BE12" i="1"/>
  <c r="CL12" i="1"/>
  <c r="BV19" i="1"/>
  <c r="AV56" i="1"/>
  <c r="AV58" i="1" s="1"/>
  <c r="BU56" i="1"/>
  <c r="BU58" i="1" s="1"/>
  <c r="CC56" i="1"/>
  <c r="CC58" i="1" s="1"/>
  <c r="N19" i="1"/>
  <c r="AH12" i="1"/>
  <c r="BG12" i="1"/>
  <c r="BX12" i="1"/>
  <c r="CP12" i="1"/>
  <c r="M18" i="1"/>
  <c r="M23" i="1" s="1"/>
  <c r="M27" i="1" s="1"/>
  <c r="M28" i="1" s="1"/>
  <c r="AA18" i="1"/>
  <c r="AA23" i="1" s="1"/>
  <c r="AH19" i="1"/>
  <c r="CF19" i="1"/>
  <c r="BE23" i="1"/>
  <c r="BE27" i="1" s="1"/>
  <c r="K56" i="1"/>
  <c r="K58" i="1" s="1"/>
  <c r="CM56" i="1"/>
  <c r="M46" i="1"/>
  <c r="M51" i="1" s="1"/>
  <c r="M56" i="1" s="1"/>
  <c r="M58" i="1" s="1"/>
  <c r="R18" i="1"/>
  <c r="R19" i="1" s="1"/>
  <c r="O46" i="1"/>
  <c r="O51" i="1" s="1"/>
  <c r="O56" i="1" s="1"/>
  <c r="O58" i="1" s="1"/>
  <c r="AJ18" i="1"/>
  <c r="BV12" i="1"/>
  <c r="G56" i="1"/>
  <c r="G58" i="1" s="1"/>
  <c r="BD56" i="1"/>
  <c r="BD58" i="1" s="1"/>
  <c r="BL56" i="1"/>
  <c r="BL58" i="1" s="1"/>
  <c r="U18" i="1"/>
  <c r="U23" i="1" s="1"/>
  <c r="U27" i="1" s="1"/>
  <c r="U28" i="1" s="1"/>
  <c r="AQ12" i="1"/>
  <c r="BM12" i="1"/>
  <c r="CD12" i="1"/>
  <c r="CL19" i="1"/>
  <c r="H56" i="1"/>
  <c r="H58" i="1" s="1"/>
  <c r="AR56" i="1"/>
  <c r="AR58" i="1" s="1"/>
  <c r="BH56" i="1"/>
  <c r="BH58" i="1" s="1"/>
  <c r="BP56" i="1"/>
  <c r="BP58" i="1" s="1"/>
  <c r="BY56" i="1"/>
  <c r="BY58" i="1" s="1"/>
  <c r="CG56" i="1"/>
  <c r="CG58" i="1" s="1"/>
  <c r="V56" i="1"/>
  <c r="V58" i="1" s="1"/>
  <c r="AD56" i="1"/>
  <c r="AD58" i="1" s="1"/>
  <c r="AM56" i="1"/>
  <c r="AM58" i="1" s="1"/>
  <c r="AU56" i="1"/>
  <c r="AU58" i="1" s="1"/>
  <c r="BC56" i="1"/>
  <c r="BC58" i="1" s="1"/>
  <c r="S18" i="1"/>
  <c r="X18" i="1"/>
  <c r="X23" i="1" s="1"/>
  <c r="X24" i="1" s="1"/>
  <c r="AK58" i="1"/>
  <c r="AO18" i="1"/>
  <c r="AO23" i="1" s="1"/>
  <c r="AY19" i="1"/>
  <c r="AC19" i="1"/>
  <c r="N56" i="1"/>
  <c r="N58" i="1" s="1"/>
  <c r="AL19" i="1"/>
  <c r="AT19" i="1"/>
  <c r="BF23" i="1"/>
  <c r="BF19" i="1"/>
  <c r="BW23" i="1"/>
  <c r="BW19" i="1"/>
  <c r="G9" i="1"/>
  <c r="G11" i="1"/>
  <c r="H18" i="1"/>
  <c r="H12" i="1"/>
  <c r="L18" i="1"/>
  <c r="L12" i="1"/>
  <c r="AC27" i="1"/>
  <c r="AC28" i="1" s="1"/>
  <c r="AC24" i="1"/>
  <c r="D18" i="1"/>
  <c r="D12" i="1"/>
  <c r="BV24" i="1"/>
  <c r="BV27" i="1"/>
  <c r="J27" i="1"/>
  <c r="J28" i="1" s="1"/>
  <c r="J24" i="1"/>
  <c r="AP23" i="1"/>
  <c r="AP19" i="1"/>
  <c r="BB23" i="1"/>
  <c r="BB19" i="1"/>
  <c r="BJ27" i="1"/>
  <c r="BJ24" i="1"/>
  <c r="C9" i="1"/>
  <c r="C11" i="1"/>
  <c r="BK23" i="1"/>
  <c r="BK19" i="1"/>
  <c r="CB23" i="1"/>
  <c r="CB19" i="1"/>
  <c r="V23" i="1"/>
  <c r="V19" i="1"/>
  <c r="AB23" i="1"/>
  <c r="AB19" i="1"/>
  <c r="BS27" i="1"/>
  <c r="BS24" i="1"/>
  <c r="CI18" i="1"/>
  <c r="CI12" i="1"/>
  <c r="N12" i="1"/>
  <c r="T12" i="1"/>
  <c r="AT12" i="1"/>
  <c r="BJ12" i="1"/>
  <c r="CA12" i="1"/>
  <c r="I23" i="1"/>
  <c r="I19" i="1"/>
  <c r="Q23" i="1"/>
  <c r="Q19" i="1"/>
  <c r="AE18" i="1"/>
  <c r="AN18" i="1"/>
  <c r="AV18" i="1"/>
  <c r="AV23" i="1" s="1"/>
  <c r="BD18" i="1"/>
  <c r="BN18" i="1"/>
  <c r="BY18" i="1"/>
  <c r="BJ19" i="1"/>
  <c r="N23" i="1"/>
  <c r="CA23" i="1"/>
  <c r="AD19" i="1"/>
  <c r="AH27" i="1"/>
  <c r="AH28" i="1" s="1"/>
  <c r="AH24" i="1"/>
  <c r="AM19" i="1"/>
  <c r="AQ24" i="1"/>
  <c r="AQ27" i="1"/>
  <c r="AU19" i="1"/>
  <c r="AY24" i="1"/>
  <c r="AY27" i="1"/>
  <c r="BC23" i="1"/>
  <c r="BC19" i="1"/>
  <c r="BG24" i="1"/>
  <c r="BG27" i="1"/>
  <c r="BO24" i="1"/>
  <c r="BO27" i="1"/>
  <c r="BX24" i="1"/>
  <c r="BX27" i="1"/>
  <c r="CF24" i="1"/>
  <c r="CF27" i="1"/>
  <c r="CP24" i="1"/>
  <c r="CP27" i="1"/>
  <c r="J12" i="1"/>
  <c r="P12" i="1"/>
  <c r="AD12" i="1"/>
  <c r="AK12" i="1"/>
  <c r="AP12" i="1"/>
  <c r="AU12" i="1"/>
  <c r="BA12" i="1"/>
  <c r="BF12" i="1"/>
  <c r="BK12" i="1"/>
  <c r="BR12" i="1"/>
  <c r="BW12" i="1"/>
  <c r="CB12" i="1"/>
  <c r="K18" i="1"/>
  <c r="AG18" i="1"/>
  <c r="AX18" i="1"/>
  <c r="AX23" i="1" s="1"/>
  <c r="BP18" i="1"/>
  <c r="CM18" i="1"/>
  <c r="J19" i="1"/>
  <c r="AQ19" i="1"/>
  <c r="BM19" i="1"/>
  <c r="BX19" i="1"/>
  <c r="P27" i="1"/>
  <c r="P28" i="1" s="1"/>
  <c r="P24" i="1"/>
  <c r="T19" i="1"/>
  <c r="BL18" i="1"/>
  <c r="BL12" i="1"/>
  <c r="BU18" i="1"/>
  <c r="BU12" i="1"/>
  <c r="CC18" i="1"/>
  <c r="CC12" i="1"/>
  <c r="CK18" i="1"/>
  <c r="CK12" i="1"/>
  <c r="F12" i="1"/>
  <c r="V12" i="1"/>
  <c r="AL12" i="1"/>
  <c r="BB12" i="1"/>
  <c r="BS12" i="1"/>
  <c r="AR18" i="1"/>
  <c r="AZ18" i="1"/>
  <c r="AZ23" i="1" s="1"/>
  <c r="BH18" i="1"/>
  <c r="BT23" i="1"/>
  <c r="CE18" i="1"/>
  <c r="CQ18" i="1"/>
  <c r="F23" i="1"/>
  <c r="CL24" i="1"/>
  <c r="CL27" i="1"/>
  <c r="AK23" i="1"/>
  <c r="AK19" i="1"/>
  <c r="AS23" i="1"/>
  <c r="AS19" i="1"/>
  <c r="AW24" i="1"/>
  <c r="AW27" i="1"/>
  <c r="BA19" i="1"/>
  <c r="BI23" i="1"/>
  <c r="BI19" i="1"/>
  <c r="BM24" i="1"/>
  <c r="BM27" i="1"/>
  <c r="BR23" i="1"/>
  <c r="BR19" i="1"/>
  <c r="BZ23" i="1"/>
  <c r="BZ19" i="1"/>
  <c r="CD24" i="1"/>
  <c r="CD27" i="1"/>
  <c r="CH23" i="1"/>
  <c r="CH19" i="1"/>
  <c r="R12" i="1"/>
  <c r="X12" i="1"/>
  <c r="AB12" i="1"/>
  <c r="AM12" i="1"/>
  <c r="AS12" i="1"/>
  <c r="BC12" i="1"/>
  <c r="BI12" i="1"/>
  <c r="BZ12" i="1"/>
  <c r="CF12" i="1"/>
  <c r="O18" i="1"/>
  <c r="W18" i="1"/>
  <c r="CG18" i="1"/>
  <c r="P19" i="1"/>
  <c r="AW19" i="1"/>
  <c r="BG19" i="1"/>
  <c r="BS19" i="1"/>
  <c r="CD19" i="1"/>
  <c r="CP19" i="1"/>
  <c r="Z24" i="1" l="1"/>
  <c r="CJ23" i="1"/>
  <c r="Z19" i="1"/>
  <c r="U24" i="1"/>
  <c r="BE24" i="1"/>
  <c r="Y23" i="1"/>
  <c r="Y27" i="1" s="1"/>
  <c r="Y28" i="1" s="1"/>
  <c r="CP58" i="1"/>
  <c r="CR32" i="1"/>
  <c r="CQ58" i="1"/>
  <c r="CS32" i="1"/>
  <c r="BM28" i="1"/>
  <c r="BV28" i="1"/>
  <c r="BV32" i="1"/>
  <c r="CM58" i="1"/>
  <c r="CO32" i="1"/>
  <c r="AW28" i="1"/>
  <c r="CF28" i="1"/>
  <c r="CF32" i="1"/>
  <c r="BO28" i="1"/>
  <c r="BS28" i="1"/>
  <c r="BS32" i="1"/>
  <c r="BJ28" i="1"/>
  <c r="CD28" i="1"/>
  <c r="CD32" i="1"/>
  <c r="AQ28" i="1"/>
  <c r="BE28" i="1"/>
  <c r="CL28" i="1"/>
  <c r="CL32" i="1"/>
  <c r="CP28" i="1"/>
  <c r="CP32" i="1"/>
  <c r="BX28" i="1"/>
  <c r="BX32" i="1"/>
  <c r="BG28" i="1"/>
  <c r="AY28" i="1"/>
  <c r="AF27" i="1"/>
  <c r="AF28" i="1" s="1"/>
  <c r="AF24" i="1"/>
  <c r="E19" i="1"/>
  <c r="E27" i="1"/>
  <c r="E28" i="1" s="1"/>
  <c r="AF19" i="1"/>
  <c r="X19" i="1"/>
  <c r="AA19" i="1"/>
  <c r="X27" i="1"/>
  <c r="X28" i="1" s="1"/>
  <c r="R23" i="1"/>
  <c r="M24" i="1"/>
  <c r="U19" i="1"/>
  <c r="M19" i="1"/>
  <c r="AO19" i="1"/>
  <c r="BI27" i="1"/>
  <c r="BI24" i="1"/>
  <c r="AK27" i="1"/>
  <c r="AK24" i="1"/>
  <c r="CQ23" i="1"/>
  <c r="CQ19" i="1"/>
  <c r="CC19" i="1"/>
  <c r="CC23" i="1"/>
  <c r="K19" i="1"/>
  <c r="K23" i="1"/>
  <c r="W23" i="1"/>
  <c r="W19" i="1"/>
  <c r="CH27" i="1"/>
  <c r="CH24" i="1"/>
  <c r="BZ27" i="1"/>
  <c r="BZ24" i="1"/>
  <c r="BA27" i="1"/>
  <c r="BA24" i="1"/>
  <c r="AS27" i="1"/>
  <c r="AS24" i="1"/>
  <c r="AR23" i="1"/>
  <c r="AR19" i="1"/>
  <c r="CK23" i="1"/>
  <c r="CK19" i="1"/>
  <c r="BU23" i="1"/>
  <c r="BU19" i="1"/>
  <c r="T27" i="1"/>
  <c r="T28" i="1" s="1"/>
  <c r="T24" i="1"/>
  <c r="AG23" i="1"/>
  <c r="AG19" i="1"/>
  <c r="BN23" i="1"/>
  <c r="BN19" i="1"/>
  <c r="AE19" i="1"/>
  <c r="AE23" i="1"/>
  <c r="Q27" i="1"/>
  <c r="Q28" i="1" s="1"/>
  <c r="Q24" i="1"/>
  <c r="O19" i="1"/>
  <c r="O23" i="1"/>
  <c r="BT24" i="1"/>
  <c r="BT27" i="1"/>
  <c r="AJ19" i="1"/>
  <c r="AJ23" i="1"/>
  <c r="CM23" i="1"/>
  <c r="CM19" i="1"/>
  <c r="S19" i="1"/>
  <c r="S23" i="1"/>
  <c r="BD23" i="1"/>
  <c r="BD19" i="1"/>
  <c r="CI23" i="1"/>
  <c r="CI19" i="1"/>
  <c r="AB27" i="1"/>
  <c r="AB28" i="1" s="1"/>
  <c r="AB24" i="1"/>
  <c r="BK24" i="1"/>
  <c r="BK27" i="1"/>
  <c r="AP27" i="1"/>
  <c r="AP24" i="1"/>
  <c r="D23" i="1"/>
  <c r="D19" i="1"/>
  <c r="H23" i="1"/>
  <c r="H19" i="1"/>
  <c r="BW27" i="1"/>
  <c r="BW24" i="1"/>
  <c r="AT27" i="1"/>
  <c r="AT24" i="1"/>
  <c r="BR27" i="1"/>
  <c r="BR24" i="1"/>
  <c r="BH23" i="1"/>
  <c r="BH19" i="1"/>
  <c r="BL19" i="1"/>
  <c r="BL23" i="1"/>
  <c r="BP19" i="1"/>
  <c r="BP23" i="1"/>
  <c r="BC24" i="1"/>
  <c r="BC27" i="1"/>
  <c r="AU24" i="1"/>
  <c r="AU27" i="1"/>
  <c r="AM24" i="1"/>
  <c r="AM27" i="1"/>
  <c r="AD24" i="1"/>
  <c r="AD27" i="1"/>
  <c r="AD28" i="1" s="1"/>
  <c r="N24" i="1"/>
  <c r="N27" i="1"/>
  <c r="N28" i="1" s="1"/>
  <c r="CJ24" i="1"/>
  <c r="CJ27" i="1"/>
  <c r="AV19" i="1"/>
  <c r="Y24" i="1"/>
  <c r="I27" i="1"/>
  <c r="I28" i="1" s="1"/>
  <c r="I24" i="1"/>
  <c r="C12" i="1"/>
  <c r="C18" i="1"/>
  <c r="G12" i="1"/>
  <c r="G18" i="1"/>
  <c r="CG19" i="1"/>
  <c r="CG23" i="1"/>
  <c r="F24" i="1"/>
  <c r="F27" i="1"/>
  <c r="F28" i="1" s="1"/>
  <c r="CE23" i="1"/>
  <c r="CE19" i="1"/>
  <c r="AZ19" i="1"/>
  <c r="AA27" i="1"/>
  <c r="AA28" i="1" s="1"/>
  <c r="AA24" i="1"/>
  <c r="AX19" i="1"/>
  <c r="CA27" i="1"/>
  <c r="CA24" i="1"/>
  <c r="BY23" i="1"/>
  <c r="BY19" i="1"/>
  <c r="AN23" i="1"/>
  <c r="AN19" i="1"/>
  <c r="V24" i="1"/>
  <c r="V27" i="1"/>
  <c r="V28" i="1" s="1"/>
  <c r="CB24" i="1"/>
  <c r="CB27" i="1"/>
  <c r="BB27" i="1"/>
  <c r="BB24" i="1"/>
  <c r="L23" i="1"/>
  <c r="L19" i="1"/>
  <c r="BF27" i="1"/>
  <c r="BF24" i="1"/>
  <c r="AL27" i="1"/>
  <c r="AL24" i="1"/>
  <c r="CJ67" i="1"/>
  <c r="CL67" i="1"/>
  <c r="BF28" i="1" l="1"/>
  <c r="BB28" i="1"/>
  <c r="AM28" i="1"/>
  <c r="BC28" i="1"/>
  <c r="BK28" i="1"/>
  <c r="BR28" i="1"/>
  <c r="BR32" i="1"/>
  <c r="BW28" i="1"/>
  <c r="BW32" i="1"/>
  <c r="BA28" i="1"/>
  <c r="CH28" i="1"/>
  <c r="CH32" i="1"/>
  <c r="BI28" i="1"/>
  <c r="CB28" i="1"/>
  <c r="CB32" i="1"/>
  <c r="AL28" i="1"/>
  <c r="CA28" i="1"/>
  <c r="CA32" i="1"/>
  <c r="CJ28" i="1"/>
  <c r="CJ32" i="1"/>
  <c r="AU28" i="1"/>
  <c r="BT28" i="1"/>
  <c r="BT32" i="1"/>
  <c r="AT28" i="1"/>
  <c r="AP28" i="1"/>
  <c r="AS28" i="1"/>
  <c r="BZ28" i="1"/>
  <c r="BZ32" i="1"/>
  <c r="AK28" i="1"/>
  <c r="R24" i="1"/>
  <c r="R27" i="1"/>
  <c r="R28" i="1" s="1"/>
  <c r="AO24" i="1"/>
  <c r="AO27" i="1"/>
  <c r="AZ27" i="1"/>
  <c r="AZ24" i="1"/>
  <c r="G19" i="1"/>
  <c r="G23" i="1"/>
  <c r="AV27" i="1"/>
  <c r="AV24" i="1"/>
  <c r="S27" i="1"/>
  <c r="S28" i="1" s="1"/>
  <c r="S24" i="1"/>
  <c r="CG27" i="1"/>
  <c r="CG24" i="1"/>
  <c r="C19" i="1"/>
  <c r="C23" i="1"/>
  <c r="C27" i="1" s="1"/>
  <c r="BP27" i="1"/>
  <c r="BP24" i="1"/>
  <c r="CC27" i="1"/>
  <c r="CC24" i="1"/>
  <c r="L27" i="1"/>
  <c r="L28" i="1" s="1"/>
  <c r="L24" i="1"/>
  <c r="AN27" i="1"/>
  <c r="AN24" i="1"/>
  <c r="CE27" i="1"/>
  <c r="CE24" i="1"/>
  <c r="BH27" i="1"/>
  <c r="BH24" i="1"/>
  <c r="H24" i="1"/>
  <c r="H27" i="1"/>
  <c r="H28" i="1" s="1"/>
  <c r="BD27" i="1"/>
  <c r="BD24" i="1"/>
  <c r="CM27" i="1"/>
  <c r="CM24" i="1"/>
  <c r="BN27" i="1"/>
  <c r="BN24" i="1"/>
  <c r="CK27" i="1"/>
  <c r="CK24" i="1"/>
  <c r="W27" i="1"/>
  <c r="W28" i="1" s="1"/>
  <c r="W24" i="1"/>
  <c r="BL27" i="1"/>
  <c r="BL24" i="1"/>
  <c r="AJ27" i="1"/>
  <c r="AJ24" i="1"/>
  <c r="O27" i="1"/>
  <c r="O28" i="1" s="1"/>
  <c r="O24" i="1"/>
  <c r="AE27" i="1"/>
  <c r="AE28" i="1" s="1"/>
  <c r="AE24" i="1"/>
  <c r="K27" i="1"/>
  <c r="K28" i="1" s="1"/>
  <c r="K24" i="1"/>
  <c r="BY27" i="1"/>
  <c r="BY24" i="1"/>
  <c r="AX27" i="1"/>
  <c r="AX24" i="1"/>
  <c r="D27" i="1"/>
  <c r="D28" i="1" s="1"/>
  <c r="D24" i="1"/>
  <c r="CI27" i="1"/>
  <c r="CI24" i="1"/>
  <c r="AG27" i="1"/>
  <c r="AG28" i="1" s="1"/>
  <c r="AG24" i="1"/>
  <c r="BU27" i="1"/>
  <c r="BU24" i="1"/>
  <c r="AR27" i="1"/>
  <c r="AR24" i="1"/>
  <c r="CQ27" i="1"/>
  <c r="CQ24" i="1"/>
  <c r="CP67" i="1"/>
  <c r="CP69" i="1" s="1"/>
  <c r="CM67" i="1"/>
  <c r="CM72" i="1" s="1"/>
  <c r="CL72" i="1"/>
  <c r="CK67" i="1"/>
  <c r="CK72" i="1" s="1"/>
  <c r="CI67" i="1"/>
  <c r="CI72" i="1" s="1"/>
  <c r="CH67" i="1"/>
  <c r="CH72" i="1" s="1"/>
  <c r="CG67" i="1"/>
  <c r="CF67" i="1"/>
  <c r="CE67" i="1"/>
  <c r="CE72" i="1" s="1"/>
  <c r="CD67" i="1"/>
  <c r="CD72" i="1" s="1"/>
  <c r="CC67" i="1"/>
  <c r="CB67" i="1"/>
  <c r="CA67" i="1"/>
  <c r="CA72" i="1" s="1"/>
  <c r="BZ67" i="1"/>
  <c r="BZ72" i="1" s="1"/>
  <c r="BY67" i="1"/>
  <c r="BX67" i="1"/>
  <c r="BX72" i="1" s="1"/>
  <c r="BW67" i="1"/>
  <c r="BW72" i="1" s="1"/>
  <c r="BV67" i="1"/>
  <c r="BV72" i="1" s="1"/>
  <c r="BU67" i="1"/>
  <c r="BT67" i="1"/>
  <c r="BS67" i="1"/>
  <c r="BS72" i="1" s="1"/>
  <c r="BR67" i="1"/>
  <c r="BR72" i="1" s="1"/>
  <c r="BP67" i="1"/>
  <c r="BO67" i="1"/>
  <c r="BO68" i="1" s="1"/>
  <c r="BN67" i="1"/>
  <c r="BM67" i="1"/>
  <c r="BM72" i="1" s="1"/>
  <c r="BL67" i="1"/>
  <c r="BK67" i="1"/>
  <c r="BK72" i="1" s="1"/>
  <c r="BJ67" i="1"/>
  <c r="BI67" i="1"/>
  <c r="BH67" i="1"/>
  <c r="BG67" i="1"/>
  <c r="BG68" i="1" s="1"/>
  <c r="BF67" i="1"/>
  <c r="BE67" i="1"/>
  <c r="BE72" i="1" s="1"/>
  <c r="BD67" i="1"/>
  <c r="BD69" i="1" s="1"/>
  <c r="BC67" i="1"/>
  <c r="BB67" i="1"/>
  <c r="BB69" i="1" s="1"/>
  <c r="BA67" i="1"/>
  <c r="AZ67" i="1"/>
  <c r="AZ69" i="1" s="1"/>
  <c r="AY67" i="1"/>
  <c r="AX67" i="1"/>
  <c r="AX69" i="1" s="1"/>
  <c r="AW67" i="1"/>
  <c r="AV67" i="1"/>
  <c r="AV69" i="1" s="1"/>
  <c r="AU67" i="1"/>
  <c r="AT67" i="1"/>
  <c r="AT69" i="1" s="1"/>
  <c r="AS67" i="1"/>
  <c r="AR67" i="1"/>
  <c r="AR69" i="1" s="1"/>
  <c r="AQ67" i="1"/>
  <c r="AP67" i="1"/>
  <c r="AP69" i="1" s="1"/>
  <c r="AO67" i="1"/>
  <c r="AN67" i="1"/>
  <c r="AN69" i="1" s="1"/>
  <c r="AM67" i="1"/>
  <c r="AL67" i="1"/>
  <c r="AL69" i="1" s="1"/>
  <c r="AK67" i="1"/>
  <c r="AJ67" i="1"/>
  <c r="AJ69" i="1" s="1"/>
  <c r="AH67" i="1"/>
  <c r="AG67" i="1"/>
  <c r="AG69" i="1" s="1"/>
  <c r="AF67" i="1"/>
  <c r="AE67" i="1"/>
  <c r="AE69" i="1" s="1"/>
  <c r="AD67" i="1"/>
  <c r="AC67" i="1"/>
  <c r="AC69" i="1" s="1"/>
  <c r="AB67" i="1"/>
  <c r="AA67" i="1"/>
  <c r="AA69" i="1" s="1"/>
  <c r="Z67" i="1"/>
  <c r="Y67" i="1"/>
  <c r="Y69" i="1" s="1"/>
  <c r="X67" i="1"/>
  <c r="W67" i="1"/>
  <c r="W69" i="1" s="1"/>
  <c r="V67" i="1"/>
  <c r="U67" i="1"/>
  <c r="U69" i="1" s="1"/>
  <c r="T67" i="1"/>
  <c r="S67" i="1"/>
  <c r="S69" i="1" s="1"/>
  <c r="R67" i="1"/>
  <c r="Q67" i="1"/>
  <c r="Q69" i="1" s="1"/>
  <c r="P67" i="1"/>
  <c r="O67" i="1"/>
  <c r="O69" i="1" s="1"/>
  <c r="N67" i="1"/>
  <c r="M67" i="1"/>
  <c r="M69" i="1" s="1"/>
  <c r="L67" i="1"/>
  <c r="K67" i="1"/>
  <c r="K69" i="1" s="1"/>
  <c r="J67" i="1"/>
  <c r="I67" i="1"/>
  <c r="I69" i="1" s="1"/>
  <c r="H67" i="1"/>
  <c r="G67" i="1"/>
  <c r="F67" i="1"/>
  <c r="E67" i="1"/>
  <c r="E69" i="1" s="1"/>
  <c r="D67" i="1"/>
  <c r="C67" i="1"/>
  <c r="C69" i="1" s="1"/>
  <c r="B67" i="1"/>
  <c r="CQ28" i="1" l="1"/>
  <c r="CQ32" i="1"/>
  <c r="BU28" i="1"/>
  <c r="BU32" i="1"/>
  <c r="CI28" i="1"/>
  <c r="CI32" i="1"/>
  <c r="AX28" i="1"/>
  <c r="BL28" i="1"/>
  <c r="CK28" i="1"/>
  <c r="CK32" i="1"/>
  <c r="CM28" i="1"/>
  <c r="CM32" i="1"/>
  <c r="CE28" i="1"/>
  <c r="CE32" i="1"/>
  <c r="BP28" i="1"/>
  <c r="CG28" i="1"/>
  <c r="CG32" i="1"/>
  <c r="AV28" i="1"/>
  <c r="AZ28" i="1"/>
  <c r="AO28" i="1"/>
  <c r="CP68" i="1"/>
  <c r="AR28" i="1"/>
  <c r="BY28" i="1"/>
  <c r="BY32" i="1"/>
  <c r="AJ28" i="1"/>
  <c r="BN28" i="1"/>
  <c r="BD28" i="1"/>
  <c r="BH28" i="1"/>
  <c r="AN28" i="1"/>
  <c r="CC28" i="1"/>
  <c r="CC32" i="1"/>
  <c r="CP72" i="1"/>
  <c r="CP73" i="1" s="1"/>
  <c r="BI72" i="1"/>
  <c r="BI69" i="1"/>
  <c r="BC72" i="1"/>
  <c r="BC73" i="1" s="1"/>
  <c r="BC69" i="1"/>
  <c r="BA72" i="1"/>
  <c r="BA73" i="1" s="1"/>
  <c r="BA69" i="1"/>
  <c r="AY72" i="1"/>
  <c r="AY73" i="1" s="1"/>
  <c r="AY69" i="1"/>
  <c r="AW72" i="1"/>
  <c r="AW73" i="1" s="1"/>
  <c r="AW69" i="1"/>
  <c r="AU72" i="1"/>
  <c r="AU73" i="1" s="1"/>
  <c r="AU69" i="1"/>
  <c r="AS72" i="1"/>
  <c r="AS73" i="1" s="1"/>
  <c r="AS69" i="1"/>
  <c r="AQ68" i="1"/>
  <c r="AQ69" i="1"/>
  <c r="AO72" i="1"/>
  <c r="AO73" i="1" s="1"/>
  <c r="AO69" i="1"/>
  <c r="AM68" i="1"/>
  <c r="AM69" i="1"/>
  <c r="AK72" i="1"/>
  <c r="AK73" i="1" s="1"/>
  <c r="AK69" i="1"/>
  <c r="AH72" i="1"/>
  <c r="AH73" i="1" s="1"/>
  <c r="AH69" i="1"/>
  <c r="AF72" i="1"/>
  <c r="AF73" i="1" s="1"/>
  <c r="AF69" i="1"/>
  <c r="AD72" i="1"/>
  <c r="AD73" i="1" s="1"/>
  <c r="AD69" i="1"/>
  <c r="AB72" i="1"/>
  <c r="AB73" i="1" s="1"/>
  <c r="AB69" i="1"/>
  <c r="Z68" i="1"/>
  <c r="Z69" i="1"/>
  <c r="X72" i="1"/>
  <c r="X73" i="1" s="1"/>
  <c r="X69" i="1"/>
  <c r="V68" i="1"/>
  <c r="V69" i="1"/>
  <c r="T72" i="1"/>
  <c r="T73" i="1" s="1"/>
  <c r="T69" i="1"/>
  <c r="P72" i="1"/>
  <c r="P73" i="1" s="1"/>
  <c r="P69" i="1"/>
  <c r="R72" i="1"/>
  <c r="R73" i="1" s="1"/>
  <c r="R69" i="1"/>
  <c r="N72" i="1"/>
  <c r="N73" i="1" s="1"/>
  <c r="N69" i="1"/>
  <c r="L72" i="1"/>
  <c r="L73" i="1" s="1"/>
  <c r="L69" i="1"/>
  <c r="J72" i="1"/>
  <c r="J73" i="1" s="1"/>
  <c r="J69" i="1"/>
  <c r="B72" i="1"/>
  <c r="B73" i="1" s="1"/>
  <c r="B69" i="1"/>
  <c r="D72" i="1"/>
  <c r="D73" i="1" s="1"/>
  <c r="D69" i="1"/>
  <c r="F68" i="1"/>
  <c r="F69" i="1"/>
  <c r="G69" i="1"/>
  <c r="G72" i="1"/>
  <c r="G73" i="1" s="1"/>
  <c r="H72" i="1"/>
  <c r="H73" i="1" s="1"/>
  <c r="H69" i="1"/>
  <c r="C28" i="1"/>
  <c r="C24" i="1"/>
  <c r="G27" i="1"/>
  <c r="G28" i="1" s="1"/>
  <c r="G24" i="1"/>
  <c r="AM72" i="1"/>
  <c r="AM73" i="1" s="1"/>
  <c r="AO68" i="1"/>
  <c r="R68" i="1"/>
  <c r="AD68" i="1"/>
  <c r="BG72" i="1"/>
  <c r="AY68" i="1"/>
  <c r="BK68" i="1"/>
  <c r="H68" i="1"/>
  <c r="V72" i="1"/>
  <c r="V73" i="1" s="1"/>
  <c r="AQ72" i="1"/>
  <c r="AQ73" i="1" s="1"/>
  <c r="BO72" i="1"/>
  <c r="J68" i="1"/>
  <c r="AF68" i="1"/>
  <c r="BC68" i="1"/>
  <c r="BM68" i="1"/>
  <c r="F72" i="1"/>
  <c r="F73" i="1" s="1"/>
  <c r="Z72" i="1"/>
  <c r="Z73" i="1" s="1"/>
  <c r="N68" i="1"/>
  <c r="X68" i="1"/>
  <c r="AH68" i="1"/>
  <c r="AU68" i="1"/>
  <c r="BE68" i="1"/>
  <c r="P68" i="1"/>
  <c r="AW68" i="1"/>
  <c r="BZ68" i="1"/>
  <c r="G68" i="1"/>
  <c r="K72" i="1"/>
  <c r="K73" i="1" s="1"/>
  <c r="K68" i="1"/>
  <c r="S72" i="1"/>
  <c r="S73" i="1" s="1"/>
  <c r="S68" i="1"/>
  <c r="AA72" i="1"/>
  <c r="AA73" i="1" s="1"/>
  <c r="AA68" i="1"/>
  <c r="AJ72" i="1"/>
  <c r="AJ73" i="1" s="1"/>
  <c r="AJ68" i="1"/>
  <c r="AN72" i="1"/>
  <c r="AN73" i="1" s="1"/>
  <c r="AN68" i="1"/>
  <c r="AV72" i="1"/>
  <c r="AV73" i="1" s="1"/>
  <c r="AV68" i="1"/>
  <c r="BD72" i="1"/>
  <c r="BD73" i="1" s="1"/>
  <c r="BD68" i="1"/>
  <c r="BL72" i="1"/>
  <c r="BL68" i="1"/>
  <c r="BU72" i="1"/>
  <c r="BU68" i="1"/>
  <c r="CC72" i="1"/>
  <c r="CC68" i="1"/>
  <c r="B68" i="1"/>
  <c r="CD68" i="1"/>
  <c r="E72" i="1"/>
  <c r="E73" i="1" s="1"/>
  <c r="E68" i="1"/>
  <c r="I72" i="1"/>
  <c r="I73" i="1" s="1"/>
  <c r="I68" i="1"/>
  <c r="M72" i="1"/>
  <c r="M73" i="1" s="1"/>
  <c r="M68" i="1"/>
  <c r="Q72" i="1"/>
  <c r="Q73" i="1" s="1"/>
  <c r="Q68" i="1"/>
  <c r="U72" i="1"/>
  <c r="U73" i="1" s="1"/>
  <c r="U68" i="1"/>
  <c r="Y72" i="1"/>
  <c r="Y73" i="1" s="1"/>
  <c r="Y68" i="1"/>
  <c r="AC72" i="1"/>
  <c r="AC73" i="1" s="1"/>
  <c r="AC68" i="1"/>
  <c r="AG72" i="1"/>
  <c r="AG73" i="1" s="1"/>
  <c r="AG68" i="1"/>
  <c r="AL72" i="1"/>
  <c r="AL73" i="1" s="1"/>
  <c r="AL68" i="1"/>
  <c r="AP72" i="1"/>
  <c r="AP73" i="1" s="1"/>
  <c r="AP68" i="1"/>
  <c r="AT72" i="1"/>
  <c r="AT73" i="1" s="1"/>
  <c r="AT68" i="1"/>
  <c r="AX72" i="1"/>
  <c r="AX73" i="1" s="1"/>
  <c r="AX68" i="1"/>
  <c r="BB72" i="1"/>
  <c r="BB73" i="1" s="1"/>
  <c r="BB68" i="1"/>
  <c r="BF72" i="1"/>
  <c r="BF68" i="1"/>
  <c r="BJ72" i="1"/>
  <c r="BJ68" i="1"/>
  <c r="BN72" i="1"/>
  <c r="BN68" i="1"/>
  <c r="D68" i="1"/>
  <c r="L68" i="1"/>
  <c r="T68" i="1"/>
  <c r="AB68" i="1"/>
  <c r="AK68" i="1"/>
  <c r="AS68" i="1"/>
  <c r="BA68" i="1"/>
  <c r="BI68" i="1"/>
  <c r="BR68" i="1"/>
  <c r="CH68" i="1"/>
  <c r="C72" i="1"/>
  <c r="C73" i="1" s="1"/>
  <c r="C68" i="1"/>
  <c r="O72" i="1"/>
  <c r="O73" i="1" s="1"/>
  <c r="O68" i="1"/>
  <c r="W72" i="1"/>
  <c r="W73" i="1" s="1"/>
  <c r="W68" i="1"/>
  <c r="AE72" i="1"/>
  <c r="AE73" i="1" s="1"/>
  <c r="AE68" i="1"/>
  <c r="AR72" i="1"/>
  <c r="AR73" i="1" s="1"/>
  <c r="AR68" i="1"/>
  <c r="AZ72" i="1"/>
  <c r="AZ73" i="1" s="1"/>
  <c r="AZ68" i="1"/>
  <c r="BH72" i="1"/>
  <c r="BH68" i="1"/>
  <c r="BP72" i="1"/>
  <c r="BP68" i="1"/>
  <c r="BY72" i="1"/>
  <c r="BY68" i="1"/>
  <c r="CG72" i="1"/>
  <c r="CG68" i="1"/>
  <c r="BV68" i="1"/>
  <c r="CF72" i="1"/>
  <c r="BS68" i="1"/>
  <c r="BW68" i="1"/>
  <c r="CA68" i="1"/>
  <c r="CE68" i="1"/>
  <c r="CI68" i="1"/>
  <c r="BT72" i="1"/>
  <c r="BT68" i="1"/>
  <c r="BX68" i="1"/>
  <c r="CB68" i="1"/>
  <c r="CF68" i="1"/>
  <c r="CK68" i="1"/>
  <c r="CB72" i="1"/>
  <c r="CM68" i="1"/>
  <c r="CJ68" i="1"/>
  <c r="CJ72" i="1"/>
  <c r="CL68" i="1"/>
  <c r="BL77" i="3"/>
  <c r="BL80" i="3"/>
  <c r="BK80" i="3"/>
  <c r="BK72" i="3"/>
  <c r="BK77" i="3" s="1"/>
  <c r="BL22" i="3"/>
  <c r="BK22" i="3"/>
  <c r="BL17" i="3"/>
  <c r="BK17" i="3"/>
  <c r="BL11" i="3"/>
  <c r="BL18" i="3" s="1"/>
  <c r="BL23" i="3" s="1"/>
  <c r="BL27" i="3" s="1"/>
  <c r="BK11" i="3"/>
  <c r="BK18" i="3" s="1"/>
  <c r="BK23" i="3" s="1"/>
  <c r="BK27" i="3" s="1"/>
  <c r="BL9" i="3"/>
  <c r="BK9" i="3"/>
  <c r="BK82" i="3" l="1"/>
  <c r="BL82" i="3"/>
  <c r="BL84" i="3" s="1"/>
  <c r="BK84" i="3"/>
  <c r="BL19" i="3"/>
  <c r="BK19" i="3"/>
  <c r="BK12" i="3"/>
  <c r="BL12" i="3"/>
  <c r="BL24" i="3" l="1"/>
  <c r="BL28" i="3"/>
  <c r="BK24" i="3"/>
  <c r="BK28" i="3"/>
  <c r="CM73" i="1" l="1"/>
  <c r="CM69" i="1"/>
  <c r="CL69" i="1"/>
  <c r="CL73" i="1"/>
  <c r="BA72" i="3" l="1"/>
  <c r="AY72" i="3"/>
  <c r="AY77" i="3" s="1"/>
  <c r="AF80" i="3"/>
  <c r="AF77" i="3"/>
  <c r="AH80" i="3"/>
  <c r="AH77" i="3"/>
  <c r="AI72" i="3"/>
  <c r="AI77" i="3" s="1"/>
  <c r="AJ80" i="3"/>
  <c r="AJ77" i="3"/>
  <c r="AL80" i="3"/>
  <c r="AL77" i="3"/>
  <c r="AN77" i="3"/>
  <c r="AN80" i="3"/>
  <c r="AP77" i="3"/>
  <c r="AP80" i="3"/>
  <c r="AO72" i="3"/>
  <c r="AO77" i="3" s="1"/>
  <c r="AQ72" i="3"/>
  <c r="AQ77" i="3" s="1"/>
  <c r="AT80" i="3"/>
  <c r="AT77" i="3"/>
  <c r="AV77" i="3"/>
  <c r="AZ77" i="3"/>
  <c r="BB77" i="3"/>
  <c r="BD80" i="3"/>
  <c r="BD77" i="3"/>
  <c r="BD82" i="3" s="1"/>
  <c r="BF80" i="3"/>
  <c r="BF77" i="3"/>
  <c r="BH80" i="3"/>
  <c r="BH77" i="3"/>
  <c r="AF82" i="3" l="1"/>
  <c r="AJ82" i="3"/>
  <c r="AL82" i="3"/>
  <c r="AL84" i="3" s="1"/>
  <c r="AH82" i="3"/>
  <c r="BH82" i="3"/>
  <c r="AN82" i="3"/>
  <c r="BJ77" i="3"/>
  <c r="BI80" i="3"/>
  <c r="BG80" i="3"/>
  <c r="BE80" i="3"/>
  <c r="BC80" i="3"/>
  <c r="BA80" i="3"/>
  <c r="AY80" i="3"/>
  <c r="AY82" i="3" s="1"/>
  <c r="AY84" i="3" s="1"/>
  <c r="AW80" i="3"/>
  <c r="AU80" i="3"/>
  <c r="AS80" i="3"/>
  <c r="AQ80" i="3"/>
  <c r="AQ82" i="3" s="1"/>
  <c r="AQ84" i="3" s="1"/>
  <c r="AO80" i="3"/>
  <c r="AO82" i="3" s="1"/>
  <c r="AM80" i="3"/>
  <c r="AK80" i="3"/>
  <c r="AI80" i="3"/>
  <c r="AI82" i="3" s="1"/>
  <c r="AI84" i="3" s="1"/>
  <c r="AG80" i="3"/>
  <c r="AE80" i="3"/>
  <c r="BJ79" i="3"/>
  <c r="BJ80" i="3" s="1"/>
  <c r="BB80" i="3"/>
  <c r="AZ80" i="3"/>
  <c r="AX80" i="3"/>
  <c r="AV80" i="3"/>
  <c r="AV82" i="3" s="1"/>
  <c r="AR80" i="3"/>
  <c r="AX77" i="3"/>
  <c r="AT82" i="3"/>
  <c r="AT84" i="3" s="1"/>
  <c r="AR77" i="3"/>
  <c r="BI72" i="3"/>
  <c r="BI77" i="3" s="1"/>
  <c r="BG72" i="3"/>
  <c r="BG77" i="3" s="1"/>
  <c r="BE72" i="3"/>
  <c r="BC72" i="3"/>
  <c r="BC77" i="3" s="1"/>
  <c r="BA77" i="3"/>
  <c r="AW72" i="3"/>
  <c r="AW77" i="3" s="1"/>
  <c r="AU72" i="3"/>
  <c r="AU77" i="3" s="1"/>
  <c r="AS72" i="3"/>
  <c r="AS77" i="3" s="1"/>
  <c r="AM72" i="3"/>
  <c r="AM77" i="3" s="1"/>
  <c r="AK72" i="3"/>
  <c r="AG72" i="3"/>
  <c r="AG77" i="3" s="1"/>
  <c r="AE72" i="3"/>
  <c r="AE77" i="3" s="1"/>
  <c r="BI82" i="3" l="1"/>
  <c r="BI84" i="3" s="1"/>
  <c r="AW82" i="3"/>
  <c r="AW84" i="3" s="1"/>
  <c r="BG82" i="3"/>
  <c r="BE77" i="3"/>
  <c r="BE82" i="3" s="1"/>
  <c r="BE84" i="3" s="1"/>
  <c r="AS82" i="3"/>
  <c r="BA82" i="3"/>
  <c r="BA84" i="3" s="1"/>
  <c r="AK77" i="3"/>
  <c r="AK82" i="3" s="1"/>
  <c r="AK84" i="3" s="1"/>
  <c r="BC82" i="3"/>
  <c r="BC84" i="3" s="1"/>
  <c r="BB82" i="3"/>
  <c r="BB84" i="3" s="1"/>
  <c r="AE82" i="3"/>
  <c r="AE84" i="3" s="1"/>
  <c r="BJ82" i="3"/>
  <c r="BJ84" i="3" s="1"/>
  <c r="AG82" i="3"/>
  <c r="AG84" i="3" s="1"/>
  <c r="AO84" i="3"/>
  <c r="AV84" i="3"/>
  <c r="AR82" i="3"/>
  <c r="AR84" i="3" s="1"/>
  <c r="AX82" i="3"/>
  <c r="AX84" i="3" s="1"/>
  <c r="AZ82" i="3"/>
  <c r="AZ84" i="3" s="1"/>
  <c r="BG84" i="3"/>
  <c r="AS84" i="3"/>
  <c r="AH84" i="3"/>
  <c r="BF82" i="3"/>
  <c r="BF84" i="3" s="1"/>
  <c r="AM82" i="3"/>
  <c r="AM84" i="3" s="1"/>
  <c r="AU82" i="3"/>
  <c r="AU84" i="3" s="1"/>
  <c r="AJ84" i="3"/>
  <c r="AP82" i="3"/>
  <c r="AP84" i="3" s="1"/>
  <c r="BH84" i="3"/>
  <c r="AF84" i="3"/>
  <c r="BD84" i="3"/>
  <c r="AN84" i="3"/>
  <c r="CA73" i="1" l="1"/>
  <c r="CA69" i="1"/>
  <c r="BP69" i="1"/>
  <c r="BP73" i="1"/>
  <c r="BH69" i="1"/>
  <c r="BH73" i="1"/>
  <c r="BN69" i="1"/>
  <c r="BN73" i="1"/>
  <c r="BF69" i="1"/>
  <c r="BF73" i="1"/>
  <c r="CG69" i="1"/>
  <c r="CG73" i="1"/>
  <c r="BS69" i="1"/>
  <c r="BS73" i="1"/>
  <c r="BZ73" i="1"/>
  <c r="BZ69" i="1"/>
  <c r="CC69" i="1"/>
  <c r="CC73" i="1"/>
  <c r="BT69" i="1"/>
  <c r="BT73" i="1"/>
  <c r="BL69" i="1"/>
  <c r="BL73" i="1"/>
  <c r="BU69" i="1"/>
  <c r="BU73" i="1"/>
  <c r="BI11" i="3"/>
  <c r="BI18" i="3" s="1"/>
  <c r="BJ11" i="3"/>
  <c r="BJ12" i="3" s="1"/>
  <c r="BG11" i="3"/>
  <c r="BG18" i="3" s="1"/>
  <c r="BH11" i="3"/>
  <c r="BH18" i="3" s="1"/>
  <c r="BF11" i="3"/>
  <c r="BF18" i="3" s="1"/>
  <c r="BF23" i="3" s="1"/>
  <c r="BF27" i="3" s="1"/>
  <c r="BC11" i="3"/>
  <c r="BC18" i="3" s="1"/>
  <c r="BC23" i="3" s="1"/>
  <c r="BD11" i="3"/>
  <c r="BD12" i="3" s="1"/>
  <c r="BA11" i="3"/>
  <c r="BA12" i="3" s="1"/>
  <c r="AY11" i="3"/>
  <c r="AY18" i="3" s="1"/>
  <c r="AY23" i="3" s="1"/>
  <c r="AZ11" i="3"/>
  <c r="AZ12" i="3" s="1"/>
  <c r="AW12" i="3"/>
  <c r="AU23" i="3"/>
  <c r="AU27" i="3" s="1"/>
  <c r="AV17" i="3"/>
  <c r="AV11" i="3"/>
  <c r="AV18" i="3" s="1"/>
  <c r="AS11" i="3"/>
  <c r="AS12" i="3" s="1"/>
  <c r="AT11" i="3"/>
  <c r="AT18" i="3" s="1"/>
  <c r="AQ11" i="3"/>
  <c r="AQ18" i="3" s="1"/>
  <c r="AQ23" i="3" s="1"/>
  <c r="AQ27" i="3" s="1"/>
  <c r="AR11" i="3"/>
  <c r="AR18" i="3" s="1"/>
  <c r="AR23" i="3" s="1"/>
  <c r="AR27" i="3" s="1"/>
  <c r="AM11" i="3"/>
  <c r="AM18" i="3" s="1"/>
  <c r="AM23" i="3" s="1"/>
  <c r="AN11" i="3"/>
  <c r="AN18" i="3" s="1"/>
  <c r="AK11" i="3"/>
  <c r="AK12" i="3" s="1"/>
  <c r="AL11" i="3"/>
  <c r="AL18" i="3" s="1"/>
  <c r="AL23" i="3" s="1"/>
  <c r="AL27" i="3" s="1"/>
  <c r="AI11" i="3"/>
  <c r="AI18" i="3" s="1"/>
  <c r="AI23" i="3" s="1"/>
  <c r="AG11" i="3"/>
  <c r="AG12" i="3" s="1"/>
  <c r="AH11" i="3"/>
  <c r="AH18" i="3" s="1"/>
  <c r="AH23" i="3" s="1"/>
  <c r="AH27" i="3" s="1"/>
  <c r="AE11" i="3"/>
  <c r="AE18" i="3" s="1"/>
  <c r="AE23" i="3" s="1"/>
  <c r="BJ22" i="3"/>
  <c r="BI22" i="3"/>
  <c r="BH22" i="3"/>
  <c r="BG22" i="3"/>
  <c r="BF22" i="3"/>
  <c r="BE22" i="3"/>
  <c r="BD22" i="3"/>
  <c r="BC22" i="3"/>
  <c r="BB22" i="3"/>
  <c r="BA22" i="3"/>
  <c r="AZ22" i="3"/>
  <c r="AY22" i="3"/>
  <c r="AX22" i="3"/>
  <c r="AW22" i="3"/>
  <c r="AV22" i="3"/>
  <c r="AU22" i="3"/>
  <c r="AT22" i="3"/>
  <c r="AS22" i="3"/>
  <c r="AR22" i="3"/>
  <c r="AQ22" i="3"/>
  <c r="AP22" i="3"/>
  <c r="AO22" i="3"/>
  <c r="AN22" i="3"/>
  <c r="AM22" i="3"/>
  <c r="AL22" i="3"/>
  <c r="AK22" i="3"/>
  <c r="AJ22" i="3"/>
  <c r="AI22" i="3"/>
  <c r="AH22" i="3"/>
  <c r="AG22" i="3"/>
  <c r="AF22" i="3"/>
  <c r="AE22" i="3"/>
  <c r="BJ17" i="3"/>
  <c r="BI17" i="3"/>
  <c r="BH17" i="3"/>
  <c r="BG17" i="3"/>
  <c r="BF17" i="3"/>
  <c r="BE17" i="3"/>
  <c r="BD17" i="3"/>
  <c r="BC17" i="3"/>
  <c r="BB17" i="3"/>
  <c r="BA17" i="3"/>
  <c r="AZ17" i="3"/>
  <c r="AY17" i="3"/>
  <c r="AX17" i="3"/>
  <c r="AW17" i="3"/>
  <c r="AU17" i="3"/>
  <c r="AT17" i="3"/>
  <c r="AS17" i="3"/>
  <c r="AR17" i="3"/>
  <c r="AQ17" i="3"/>
  <c r="AP17" i="3"/>
  <c r="AO17" i="3"/>
  <c r="AN17" i="3"/>
  <c r="AM17" i="3"/>
  <c r="AL17" i="3"/>
  <c r="AK17" i="3"/>
  <c r="AJ17" i="3"/>
  <c r="AI17" i="3"/>
  <c r="AH17" i="3"/>
  <c r="AG17" i="3"/>
  <c r="AF17" i="3"/>
  <c r="AE17" i="3"/>
  <c r="BE11" i="3"/>
  <c r="BE12" i="3" s="1"/>
  <c r="BB11" i="3"/>
  <c r="BB18" i="3" s="1"/>
  <c r="AX11" i="3"/>
  <c r="AX12" i="3" s="1"/>
  <c r="AP11" i="3"/>
  <c r="AP12" i="3" s="1"/>
  <c r="AO11" i="3"/>
  <c r="AO12" i="3" s="1"/>
  <c r="AJ11" i="3"/>
  <c r="AJ12" i="3" s="1"/>
  <c r="AF11" i="3"/>
  <c r="AF18" i="3" s="1"/>
  <c r="AF23" i="3" s="1"/>
  <c r="BJ9" i="3"/>
  <c r="BI9" i="3"/>
  <c r="BH9" i="3"/>
  <c r="BG9" i="3"/>
  <c r="BF9" i="3"/>
  <c r="BE9" i="3"/>
  <c r="BD9" i="3"/>
  <c r="BC9" i="3"/>
  <c r="BB9" i="3"/>
  <c r="BA9" i="3"/>
  <c r="AZ9" i="3"/>
  <c r="AY9" i="3"/>
  <c r="AX9" i="3"/>
  <c r="AW9" i="3"/>
  <c r="AV9" i="3"/>
  <c r="AU9" i="3"/>
  <c r="AT9" i="3"/>
  <c r="AS9" i="3"/>
  <c r="AR9" i="3"/>
  <c r="AQ9" i="3"/>
  <c r="AP9" i="3"/>
  <c r="AO9" i="3"/>
  <c r="AN9" i="3"/>
  <c r="AM9" i="3"/>
  <c r="AL9" i="3"/>
  <c r="AK9" i="3"/>
  <c r="AJ9" i="3"/>
  <c r="AI9" i="3"/>
  <c r="AH9" i="3"/>
  <c r="AG9" i="3"/>
  <c r="AF9" i="3"/>
  <c r="AE9" i="3"/>
  <c r="BJ69" i="1" l="1"/>
  <c r="BJ73" i="1"/>
  <c r="BV73" i="1"/>
  <c r="BV69" i="1"/>
  <c r="BK69" i="1"/>
  <c r="BK73" i="1"/>
  <c r="CI69" i="1"/>
  <c r="CI73" i="1"/>
  <c r="BE73" i="1"/>
  <c r="BE69" i="1"/>
  <c r="CJ69" i="1"/>
  <c r="CJ73" i="1"/>
  <c r="CB69" i="1"/>
  <c r="CB73" i="1"/>
  <c r="BI73" i="1"/>
  <c r="BX73" i="1"/>
  <c r="BX69" i="1"/>
  <c r="BO69" i="1"/>
  <c r="BO73" i="1"/>
  <c r="CK69" i="1"/>
  <c r="CK73" i="1"/>
  <c r="CE73" i="1"/>
  <c r="CE69" i="1"/>
  <c r="BY69" i="1"/>
  <c r="BY73" i="1"/>
  <c r="BW73" i="1"/>
  <c r="BW69" i="1"/>
  <c r="CD69" i="1"/>
  <c r="CD73" i="1"/>
  <c r="BG69" i="1"/>
  <c r="BG73" i="1"/>
  <c r="CF69" i="1"/>
  <c r="CF73" i="1"/>
  <c r="BM69" i="1"/>
  <c r="BM73" i="1"/>
  <c r="CQ73" i="1"/>
  <c r="BR73" i="1"/>
  <c r="BR69" i="1"/>
  <c r="CH73" i="1"/>
  <c r="CH69" i="1"/>
  <c r="BI12" i="3"/>
  <c r="AP18" i="3"/>
  <c r="BA18" i="3"/>
  <c r="AO18" i="3"/>
  <c r="AO19" i="3" s="1"/>
  <c r="AZ18" i="3"/>
  <c r="AZ23" i="3" s="1"/>
  <c r="BD18" i="3"/>
  <c r="BD23" i="3" s="1"/>
  <c r="BD27" i="3" s="1"/>
  <c r="AJ18" i="3"/>
  <c r="AJ19" i="3" s="1"/>
  <c r="AT12" i="3"/>
  <c r="BB12" i="3"/>
  <c r="BJ18" i="3"/>
  <c r="BJ19" i="3" s="1"/>
  <c r="AI12" i="3"/>
  <c r="AX18" i="3"/>
  <c r="AX19" i="3" s="1"/>
  <c r="BB23" i="3"/>
  <c r="BB27" i="3" s="1"/>
  <c r="BB28" i="3" s="1"/>
  <c r="BB19" i="3"/>
  <c r="AL12" i="3"/>
  <c r="AK18" i="3"/>
  <c r="BE18" i="3"/>
  <c r="AH12" i="3"/>
  <c r="AN12" i="3"/>
  <c r="AY12" i="3"/>
  <c r="BF12" i="3"/>
  <c r="AS18" i="3"/>
  <c r="BI19" i="3"/>
  <c r="AF19" i="3"/>
  <c r="AR19" i="3"/>
  <c r="AV23" i="3"/>
  <c r="AV27" i="3" s="1"/>
  <c r="AV19" i="3"/>
  <c r="BH23" i="3"/>
  <c r="BH19" i="3"/>
  <c r="AH19" i="3"/>
  <c r="AN23" i="3"/>
  <c r="AN27" i="3" s="1"/>
  <c r="AN19" i="3"/>
  <c r="AE19" i="3"/>
  <c r="AI19" i="3"/>
  <c r="AM19" i="3"/>
  <c r="AQ19" i="3"/>
  <c r="AU19" i="3"/>
  <c r="AY19" i="3"/>
  <c r="BC19" i="3"/>
  <c r="BG23" i="3"/>
  <c r="BG19" i="3"/>
  <c r="AE12" i="3"/>
  <c r="AU12" i="3"/>
  <c r="AT23" i="3"/>
  <c r="AT19" i="3"/>
  <c r="AF12" i="3"/>
  <c r="AQ12" i="3"/>
  <c r="AV12" i="3"/>
  <c r="BG12" i="3"/>
  <c r="BF28" i="3"/>
  <c r="BF24" i="3"/>
  <c r="BF19" i="3"/>
  <c r="AM12" i="3"/>
  <c r="AR12" i="3"/>
  <c r="BC12" i="3"/>
  <c r="BH12" i="3"/>
  <c r="AG18" i="3"/>
  <c r="AG23" i="3" s="1"/>
  <c r="AG27" i="3" s="1"/>
  <c r="AL28" i="3"/>
  <c r="AL24" i="3"/>
  <c r="AW18" i="3"/>
  <c r="AL19" i="3"/>
  <c r="AZ19" i="3" l="1"/>
  <c r="AX23" i="3"/>
  <c r="AX27" i="3" s="1"/>
  <c r="AX28" i="3" s="1"/>
  <c r="BE19" i="3"/>
  <c r="BE23" i="3"/>
  <c r="BE27" i="3" s="1"/>
  <c r="BE28" i="3" s="1"/>
  <c r="AO23" i="3"/>
  <c r="AO27" i="3" s="1"/>
  <c r="AO28" i="3" s="1"/>
  <c r="AK23" i="3"/>
  <c r="AK27" i="3" s="1"/>
  <c r="AK28" i="3" s="1"/>
  <c r="AS19" i="3"/>
  <c r="AS23" i="3"/>
  <c r="AS27" i="3" s="1"/>
  <c r="AS28" i="3" s="1"/>
  <c r="BD19" i="3"/>
  <c r="BI23" i="3"/>
  <c r="BD28" i="3"/>
  <c r="AJ23" i="3"/>
  <c r="AK19" i="3"/>
  <c r="BB24" i="3"/>
  <c r="BJ23" i="3"/>
  <c r="BJ27" i="3" s="1"/>
  <c r="BJ28" i="3" s="1"/>
  <c r="AZ24" i="3"/>
  <c r="BA23" i="3"/>
  <c r="BA27" i="3" s="1"/>
  <c r="BA19" i="3"/>
  <c r="AP23" i="3"/>
  <c r="AP19" i="3"/>
  <c r="AN24" i="3"/>
  <c r="AN28" i="3"/>
  <c r="BH24" i="3"/>
  <c r="BH27" i="3"/>
  <c r="BH28" i="3" s="1"/>
  <c r="AR28" i="3"/>
  <c r="AR24" i="3"/>
  <c r="AU24" i="3"/>
  <c r="AU28" i="3"/>
  <c r="AM24" i="3"/>
  <c r="AM27" i="3"/>
  <c r="AM28" i="3" s="1"/>
  <c r="AE24" i="3"/>
  <c r="AE27" i="3"/>
  <c r="AE28" i="3" s="1"/>
  <c r="AW19" i="3"/>
  <c r="AW23" i="3"/>
  <c r="AW27" i="3" s="1"/>
  <c r="AT27" i="3"/>
  <c r="AT28" i="3" s="1"/>
  <c r="AT24" i="3"/>
  <c r="BD24" i="3"/>
  <c r="AH28" i="3"/>
  <c r="AH24" i="3"/>
  <c r="AV28" i="3"/>
  <c r="AV24" i="3"/>
  <c r="AF27" i="3"/>
  <c r="AF28" i="3" s="1"/>
  <c r="AF24" i="3"/>
  <c r="AG19" i="3"/>
  <c r="BC27" i="3"/>
  <c r="BC28" i="3" s="1"/>
  <c r="BC24" i="3"/>
  <c r="BG27" i="3"/>
  <c r="BG28" i="3" s="1"/>
  <c r="BG24" i="3"/>
  <c r="AY24" i="3"/>
  <c r="AY27" i="3"/>
  <c r="AY28" i="3" s="1"/>
  <c r="AQ28" i="3"/>
  <c r="AQ24" i="3"/>
  <c r="AI24" i="3"/>
  <c r="AI27" i="3"/>
  <c r="AI28" i="3" s="1"/>
  <c r="AX24" i="3" l="1"/>
  <c r="AO24" i="3"/>
  <c r="BI27" i="3"/>
  <c r="BI28" i="3" s="1"/>
  <c r="AK24" i="3"/>
  <c r="AS24" i="3"/>
  <c r="BI24" i="3"/>
  <c r="BJ24" i="3"/>
  <c r="BE24" i="3"/>
  <c r="AJ27" i="3"/>
  <c r="AJ28" i="3" s="1"/>
  <c r="AJ24" i="3"/>
  <c r="AZ27" i="3"/>
  <c r="AZ28" i="3" s="1"/>
  <c r="AP27" i="3"/>
  <c r="AP28" i="3" s="1"/>
  <c r="AP24" i="3"/>
  <c r="BA24" i="3"/>
  <c r="BA28" i="3"/>
  <c r="AG24" i="3"/>
  <c r="AG28" i="3"/>
  <c r="AW28" i="3"/>
  <c r="AW24" i="3"/>
  <c r="O41" i="2" l="1"/>
  <c r="O40" i="2"/>
  <c r="J44" i="2"/>
  <c r="K43" i="2"/>
  <c r="K42" i="2"/>
  <c r="K39" i="2"/>
  <c r="K38" i="2"/>
  <c r="J37" i="2"/>
  <c r="J45" i="2" s="1"/>
  <c r="K36" i="2"/>
  <c r="K35" i="2"/>
  <c r="K34" i="2"/>
  <c r="K33" i="2"/>
  <c r="K32" i="2"/>
  <c r="K31" i="2"/>
  <c r="K30" i="2"/>
  <c r="K29" i="2"/>
  <c r="J26" i="2"/>
  <c r="K25" i="2"/>
  <c r="K26" i="2" s="1"/>
  <c r="J24" i="2"/>
  <c r="J27" i="2" s="1"/>
  <c r="K23" i="2"/>
  <c r="K21" i="2"/>
  <c r="K16" i="2"/>
  <c r="K18" i="2"/>
  <c r="K14" i="2"/>
  <c r="K15" i="2"/>
  <c r="K12" i="2"/>
  <c r="K19" i="2"/>
  <c r="K17" i="2"/>
  <c r="K13" i="2"/>
  <c r="K22" i="2"/>
  <c r="K20" i="2"/>
  <c r="K11" i="2"/>
  <c r="K10" i="2"/>
  <c r="K9" i="2"/>
  <c r="K8" i="2"/>
  <c r="K7" i="2"/>
  <c r="K6" i="2"/>
  <c r="K5" i="2"/>
  <c r="N44" i="2"/>
  <c r="M44" i="2"/>
  <c r="L44" i="2"/>
  <c r="I44" i="2"/>
  <c r="H44" i="2"/>
  <c r="G44" i="2"/>
  <c r="F44" i="2"/>
  <c r="O43" i="2"/>
  <c r="O42" i="2"/>
  <c r="O39" i="2"/>
  <c r="O38" i="2"/>
  <c r="N37" i="2"/>
  <c r="M37" i="2"/>
  <c r="L37" i="2"/>
  <c r="I37" i="2"/>
  <c r="H37" i="2"/>
  <c r="G37" i="2"/>
  <c r="F37" i="2"/>
  <c r="N26" i="2"/>
  <c r="M26" i="2"/>
  <c r="L26" i="2"/>
  <c r="I26" i="2"/>
  <c r="H26" i="2"/>
  <c r="G26" i="2"/>
  <c r="F26" i="2"/>
  <c r="O25" i="2"/>
  <c r="O26" i="2" s="1"/>
  <c r="N24" i="2"/>
  <c r="M24" i="2"/>
  <c r="L24" i="2"/>
  <c r="I24" i="2"/>
  <c r="H24" i="2"/>
  <c r="G24" i="2"/>
  <c r="G27" i="2" s="1"/>
  <c r="F24" i="2"/>
  <c r="F27" i="2" s="1"/>
  <c r="O11" i="2"/>
  <c r="O10" i="2"/>
  <c r="O14" i="2"/>
  <c r="O15" i="2"/>
  <c r="O8" i="2"/>
  <c r="O19" i="2"/>
  <c r="O18" i="2"/>
  <c r="O17" i="2"/>
  <c r="O16" i="2"/>
  <c r="O13" i="2"/>
  <c r="O12" i="2"/>
  <c r="O9" i="2"/>
  <c r="O7" i="2"/>
  <c r="O23" i="2"/>
  <c r="O22" i="2"/>
  <c r="O21" i="2"/>
  <c r="O20" i="2"/>
  <c r="O35" i="2"/>
  <c r="O33" i="2"/>
  <c r="O6" i="2"/>
  <c r="O5" i="2"/>
  <c r="O32" i="2"/>
  <c r="O31" i="2"/>
  <c r="O36" i="2"/>
  <c r="O34" i="2"/>
  <c r="O30" i="2"/>
  <c r="O29" i="2"/>
  <c r="L27" i="2" l="1"/>
  <c r="M27" i="2"/>
  <c r="F45" i="2"/>
  <c r="J47" i="2"/>
  <c r="O24" i="2"/>
  <c r="O27" i="2" s="1"/>
  <c r="K24" i="2"/>
  <c r="K27" i="2" s="1"/>
  <c r="K44" i="2"/>
  <c r="K37" i="2"/>
  <c r="I27" i="2"/>
  <c r="F47" i="2"/>
  <c r="G45" i="2"/>
  <c r="G47" i="2" s="1"/>
  <c r="H45" i="2"/>
  <c r="N45" i="2"/>
  <c r="O44" i="2"/>
  <c r="O37" i="2"/>
  <c r="O45" i="2" s="1"/>
  <c r="H27" i="2"/>
  <c r="N27" i="2"/>
  <c r="I45" i="2"/>
  <c r="M45" i="2"/>
  <c r="M47" i="2" s="1"/>
  <c r="L45" i="2"/>
  <c r="L47" i="2" s="1"/>
  <c r="H47" i="2" l="1"/>
  <c r="O47" i="2"/>
  <c r="N47" i="2"/>
  <c r="K45" i="2"/>
  <c r="K47" i="2" s="1"/>
  <c r="I4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前田建設工業株式会社</author>
  </authors>
  <commentList>
    <comment ref="CP53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繰延ヘッジ損益</t>
        </r>
      </text>
    </comment>
    <comment ref="CR53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繰延ヘッジ損益</t>
        </r>
      </text>
    </comment>
    <comment ref="CT53" authorId="0" shapeId="0" xr:uid="{5AEB48CA-1066-4271-921E-68A15943AD82}">
      <text>
        <r>
          <rPr>
            <b/>
            <sz val="9"/>
            <color indexed="81"/>
            <rFont val="MS P ゴシック"/>
            <family val="3"/>
            <charset val="128"/>
          </rPr>
          <t>繰延ヘッジ損益</t>
        </r>
      </text>
    </comment>
    <comment ref="CV53" authorId="0" shapeId="0" xr:uid="{9816A800-1410-4DB3-AD3A-9C8E6ECDBE00}">
      <text>
        <r>
          <rPr>
            <b/>
            <sz val="9"/>
            <color indexed="81"/>
            <rFont val="MS P ゴシック"/>
            <family val="3"/>
            <charset val="128"/>
          </rPr>
          <t>繰延ヘッジ損益</t>
        </r>
      </text>
    </comment>
    <comment ref="CX53" authorId="0" shapeId="0" xr:uid="{E11BB515-49B7-41C0-901C-A8937E629EA0}">
      <text>
        <r>
          <rPr>
            <b/>
            <sz val="9"/>
            <color indexed="81"/>
            <rFont val="MS P ゴシック"/>
            <family val="3"/>
            <charset val="128"/>
          </rPr>
          <t>繰延ヘッジ損益</t>
        </r>
      </text>
    </comment>
  </commentList>
</comments>
</file>

<file path=xl/sharedStrings.xml><?xml version="1.0" encoding="utf-8"?>
<sst xmlns="http://schemas.openxmlformats.org/spreadsheetml/2006/main" count="3145" uniqueCount="857">
  <si>
    <t>FACT BOOK</t>
    <phoneticPr fontId="2"/>
  </si>
  <si>
    <t>■ 表紙、目次</t>
    <rPh sb="2" eb="4">
      <t>ヒョウシ</t>
    </rPh>
    <rPh sb="5" eb="7">
      <t>モクジ</t>
    </rPh>
    <phoneticPr fontId="30"/>
  </si>
  <si>
    <t>･･････････</t>
    <phoneticPr fontId="31"/>
  </si>
  <si>
    <t>p.1</t>
    <phoneticPr fontId="31"/>
  </si>
  <si>
    <t>■ 貸借対照表（連結：日本基準）</t>
    <rPh sb="2" eb="4">
      <t>タイシャク</t>
    </rPh>
    <rPh sb="4" eb="7">
      <t>タイショウヒョウ</t>
    </rPh>
    <rPh sb="8" eb="10">
      <t>レンケツ</t>
    </rPh>
    <rPh sb="11" eb="15">
      <t>ニホンキジュン</t>
    </rPh>
    <phoneticPr fontId="30"/>
  </si>
  <si>
    <t>p.2</t>
    <phoneticPr fontId="31"/>
  </si>
  <si>
    <t>■ 貸借対照表（連結：IFRS基準）</t>
    <rPh sb="2" eb="4">
      <t>タイシャク</t>
    </rPh>
    <rPh sb="4" eb="7">
      <t>タイショウヒョウ</t>
    </rPh>
    <rPh sb="8" eb="10">
      <t>レンケツ</t>
    </rPh>
    <rPh sb="15" eb="17">
      <t>キジュン</t>
    </rPh>
    <phoneticPr fontId="30"/>
  </si>
  <si>
    <t>p.3</t>
    <phoneticPr fontId="31"/>
  </si>
  <si>
    <t>■ 損益計算書（連結：日本基準）</t>
    <rPh sb="11" eb="15">
      <t>ニホンキジュン</t>
    </rPh>
    <phoneticPr fontId="2"/>
  </si>
  <si>
    <t>p.4</t>
    <phoneticPr fontId="31"/>
  </si>
  <si>
    <t>■ 損益計算書（連結：IFRS基準）</t>
    <phoneticPr fontId="2"/>
  </si>
  <si>
    <t>p.5</t>
    <phoneticPr fontId="31"/>
  </si>
  <si>
    <t>■ セグメント情報</t>
    <rPh sb="7" eb="9">
      <t>ジョウホウ</t>
    </rPh>
    <phoneticPr fontId="30"/>
  </si>
  <si>
    <t>p.6</t>
    <phoneticPr fontId="31"/>
  </si>
  <si>
    <t>■ 主要グループ子会社</t>
    <rPh sb="2" eb="4">
      <t>シュヨウ</t>
    </rPh>
    <rPh sb="8" eb="11">
      <t>コガイシャ</t>
    </rPh>
    <phoneticPr fontId="30"/>
  </si>
  <si>
    <t>p.7</t>
    <phoneticPr fontId="31"/>
  </si>
  <si>
    <t>■ 主要経営指標</t>
    <rPh sb="2" eb="8">
      <t>シュヨウケイエイシヒョウ</t>
    </rPh>
    <phoneticPr fontId="30"/>
  </si>
  <si>
    <t>p.8</t>
    <phoneticPr fontId="31"/>
  </si>
  <si>
    <t>■ 補足指標</t>
    <rPh sb="2" eb="6">
      <t>ホソクシヒョウ</t>
    </rPh>
    <phoneticPr fontId="30"/>
  </si>
  <si>
    <t>p.9</t>
    <phoneticPr fontId="31"/>
  </si>
  <si>
    <t>■ 受注高、完工高、手持工事高</t>
    <rPh sb="2" eb="5">
      <t>ジュチュウダカ</t>
    </rPh>
    <rPh sb="6" eb="9">
      <t>カンコウダカ</t>
    </rPh>
    <rPh sb="10" eb="14">
      <t>テモチコウジ</t>
    </rPh>
    <rPh sb="14" eb="15">
      <t>ダカ</t>
    </rPh>
    <phoneticPr fontId="30"/>
  </si>
  <si>
    <t>p.10</t>
    <phoneticPr fontId="31"/>
  </si>
  <si>
    <t xml:space="preserve">■ 事業別連結業績の概要 </t>
    <rPh sb="2" eb="5">
      <t>ジギョウベツ</t>
    </rPh>
    <rPh sb="5" eb="9">
      <t>レンケツギョウセキ</t>
    </rPh>
    <rPh sb="10" eb="12">
      <t>ガイヨウ</t>
    </rPh>
    <phoneticPr fontId="30"/>
  </si>
  <si>
    <t>p.11</t>
    <phoneticPr fontId="31"/>
  </si>
  <si>
    <t>INFRONEER Holdings Inc.</t>
    <phoneticPr fontId="31"/>
  </si>
  <si>
    <t>（単位：百万円）</t>
    <rPh sb="6" eb="7">
      <t>エン</t>
    </rPh>
    <phoneticPr fontId="2"/>
  </si>
  <si>
    <t>会計年度</t>
    <rPh sb="0" eb="4">
      <t>カイケイネンド</t>
    </rPh>
    <phoneticPr fontId="2"/>
  </si>
  <si>
    <t>（資産の部）</t>
    <rPh sb="1" eb="3">
      <t>シサン</t>
    </rPh>
    <rPh sb="4" eb="5">
      <t>ブ</t>
    </rPh>
    <phoneticPr fontId="2"/>
  </si>
  <si>
    <t>流動資産</t>
    <rPh sb="0" eb="2">
      <t>リュウドウ</t>
    </rPh>
    <rPh sb="2" eb="4">
      <t>シサン</t>
    </rPh>
    <phoneticPr fontId="2"/>
  </si>
  <si>
    <t>現金預金</t>
    <rPh sb="0" eb="4">
      <t>ゲンキンヨキン</t>
    </rPh>
    <phoneticPr fontId="2"/>
  </si>
  <si>
    <t>受取手形・完成工事未収入金等</t>
    <rPh sb="0" eb="2">
      <t>ウケトリ</t>
    </rPh>
    <rPh sb="2" eb="4">
      <t>テガタ</t>
    </rPh>
    <rPh sb="5" eb="9">
      <t>カンセイコウジ</t>
    </rPh>
    <rPh sb="9" eb="13">
      <t>ミシュウニュウキン</t>
    </rPh>
    <rPh sb="13" eb="14">
      <t>トウ</t>
    </rPh>
    <phoneticPr fontId="2"/>
  </si>
  <si>
    <t>有価証券</t>
    <rPh sb="0" eb="4">
      <t>ユウカショウケン</t>
    </rPh>
    <phoneticPr fontId="2"/>
  </si>
  <si>
    <t>-</t>
  </si>
  <si>
    <t>販売用不動産</t>
    <rPh sb="0" eb="3">
      <t>ハンバイヨウ</t>
    </rPh>
    <rPh sb="3" eb="6">
      <t>フドウサン</t>
    </rPh>
    <phoneticPr fontId="2"/>
  </si>
  <si>
    <t>商品及び製品</t>
    <rPh sb="0" eb="2">
      <t>ショウヒン</t>
    </rPh>
    <rPh sb="2" eb="3">
      <t>オヨ</t>
    </rPh>
    <rPh sb="4" eb="6">
      <t>セイヒン</t>
    </rPh>
    <phoneticPr fontId="2"/>
  </si>
  <si>
    <t>未成工事支出金</t>
    <rPh sb="0" eb="4">
      <t>ミセイコウジ</t>
    </rPh>
    <rPh sb="4" eb="7">
      <t>シシュツキン</t>
    </rPh>
    <phoneticPr fontId="2"/>
  </si>
  <si>
    <t>材料貯蔵品</t>
    <rPh sb="0" eb="2">
      <t>ザイリョウ</t>
    </rPh>
    <rPh sb="2" eb="5">
      <t>チョゾウヒン</t>
    </rPh>
    <phoneticPr fontId="2"/>
  </si>
  <si>
    <t>繰延税金資産</t>
    <rPh sb="0" eb="2">
      <t>クリノベ</t>
    </rPh>
    <rPh sb="2" eb="4">
      <t>ゼイキン</t>
    </rPh>
    <rPh sb="4" eb="6">
      <t>シサン</t>
    </rPh>
    <phoneticPr fontId="2"/>
  </si>
  <si>
    <t>その他</t>
    <rPh sb="2" eb="3">
      <t>タ</t>
    </rPh>
    <phoneticPr fontId="2"/>
  </si>
  <si>
    <t>貸倒引当金</t>
    <rPh sb="0" eb="2">
      <t>カシダオレ</t>
    </rPh>
    <rPh sb="2" eb="5">
      <t>ヒキアテキン</t>
    </rPh>
    <phoneticPr fontId="2"/>
  </si>
  <si>
    <t>固定資産</t>
    <rPh sb="0" eb="4">
      <t>コテイシサン</t>
    </rPh>
    <phoneticPr fontId="2"/>
  </si>
  <si>
    <t>有形固定資産</t>
    <rPh sb="0" eb="6">
      <t>ユウケイコテイシサン</t>
    </rPh>
    <phoneticPr fontId="2"/>
  </si>
  <si>
    <t>建物・構築物</t>
    <rPh sb="0" eb="2">
      <t>タテモノ</t>
    </rPh>
    <rPh sb="3" eb="6">
      <t>コウチクブツ</t>
    </rPh>
    <phoneticPr fontId="2"/>
  </si>
  <si>
    <t>機械、運搬具及び工具器具備品</t>
    <rPh sb="0" eb="2">
      <t>キカイ</t>
    </rPh>
    <rPh sb="3" eb="6">
      <t>ウンパング</t>
    </rPh>
    <rPh sb="6" eb="7">
      <t>オヨ</t>
    </rPh>
    <rPh sb="8" eb="14">
      <t>コウグキグビヒン</t>
    </rPh>
    <phoneticPr fontId="2"/>
  </si>
  <si>
    <t>土地</t>
    <rPh sb="0" eb="2">
      <t>トチ</t>
    </rPh>
    <phoneticPr fontId="2"/>
  </si>
  <si>
    <t>リース資産</t>
    <rPh sb="3" eb="5">
      <t>シサン</t>
    </rPh>
    <phoneticPr fontId="2"/>
  </si>
  <si>
    <t>建設仮勘定</t>
    <rPh sb="0" eb="5">
      <t>ケンセツカリカンジョウ</t>
    </rPh>
    <phoneticPr fontId="2"/>
  </si>
  <si>
    <t>減価償却累計額</t>
    <rPh sb="0" eb="2">
      <t>ゲンカ</t>
    </rPh>
    <rPh sb="2" eb="4">
      <t>ショウキャク</t>
    </rPh>
    <rPh sb="4" eb="7">
      <t>ルイケイガク</t>
    </rPh>
    <phoneticPr fontId="2"/>
  </si>
  <si>
    <t>無形固定資産</t>
    <rPh sb="0" eb="6">
      <t>ムケイコテイシサン</t>
    </rPh>
    <phoneticPr fontId="2"/>
  </si>
  <si>
    <t>公共施設等運営権</t>
    <rPh sb="0" eb="5">
      <t>コウキョウシセツトウ</t>
    </rPh>
    <rPh sb="5" eb="8">
      <t>ウンエイケン</t>
    </rPh>
    <phoneticPr fontId="2"/>
  </si>
  <si>
    <t>公共施設等運営事業の更新投資に係る資産</t>
    <rPh sb="0" eb="5">
      <t>コウキョウシセツトウ</t>
    </rPh>
    <rPh sb="5" eb="9">
      <t>ウンエイジギョウ</t>
    </rPh>
    <rPh sb="10" eb="14">
      <t>コウシントウシ</t>
    </rPh>
    <rPh sb="15" eb="16">
      <t>カカ</t>
    </rPh>
    <rPh sb="17" eb="19">
      <t>シサン</t>
    </rPh>
    <phoneticPr fontId="2"/>
  </si>
  <si>
    <t>のれん</t>
    <phoneticPr fontId="2"/>
  </si>
  <si>
    <t>投資その他の資産</t>
    <rPh sb="0" eb="2">
      <t>トウシ</t>
    </rPh>
    <rPh sb="4" eb="5">
      <t>タ</t>
    </rPh>
    <rPh sb="6" eb="8">
      <t>シサン</t>
    </rPh>
    <phoneticPr fontId="2"/>
  </si>
  <si>
    <t>投資有価証券</t>
    <rPh sb="0" eb="6">
      <t>トウシユウカショウケン</t>
    </rPh>
    <phoneticPr fontId="2"/>
  </si>
  <si>
    <t>長期貸付金</t>
    <rPh sb="0" eb="5">
      <t>チョウキカシツケキン</t>
    </rPh>
    <phoneticPr fontId="2"/>
  </si>
  <si>
    <t>破産更生債権等</t>
    <rPh sb="0" eb="6">
      <t>ハサンコウセイサイケン</t>
    </rPh>
    <rPh sb="6" eb="7">
      <t>トウ</t>
    </rPh>
    <phoneticPr fontId="2"/>
  </si>
  <si>
    <t>繰延税金資産</t>
    <rPh sb="0" eb="6">
      <t>クリノベゼイキンシサン</t>
    </rPh>
    <phoneticPr fontId="2"/>
  </si>
  <si>
    <t>退職給付に係る資産</t>
    <rPh sb="0" eb="4">
      <t>タイショクキュウフ</t>
    </rPh>
    <rPh sb="5" eb="6">
      <t>カカ</t>
    </rPh>
    <rPh sb="7" eb="9">
      <t>シサン</t>
    </rPh>
    <phoneticPr fontId="2"/>
  </si>
  <si>
    <t>資産合計</t>
    <rPh sb="0" eb="2">
      <t>シサン</t>
    </rPh>
    <rPh sb="2" eb="4">
      <t>ゴウケイ</t>
    </rPh>
    <phoneticPr fontId="2"/>
  </si>
  <si>
    <t>（負債の部）</t>
    <rPh sb="1" eb="3">
      <t>フサイ</t>
    </rPh>
    <rPh sb="4" eb="5">
      <t>ブ</t>
    </rPh>
    <phoneticPr fontId="2"/>
  </si>
  <si>
    <t>流動負債</t>
    <rPh sb="0" eb="4">
      <t>リュウドウフサイ</t>
    </rPh>
    <phoneticPr fontId="2"/>
  </si>
  <si>
    <t>電子記録債務</t>
    <rPh sb="0" eb="6">
      <t>デンシキロクサイム</t>
    </rPh>
    <phoneticPr fontId="2"/>
  </si>
  <si>
    <t>工事未払金等</t>
    <rPh sb="0" eb="5">
      <t>コウジミハライキン</t>
    </rPh>
    <rPh sb="5" eb="6">
      <t>トウ</t>
    </rPh>
    <phoneticPr fontId="2"/>
  </si>
  <si>
    <t>短期借入金</t>
    <rPh sb="0" eb="5">
      <t>タンキカリイレキン</t>
    </rPh>
    <phoneticPr fontId="2"/>
  </si>
  <si>
    <t>1年内返済予定のノンリコース借入金</t>
    <rPh sb="1" eb="3">
      <t>ネンナイ</t>
    </rPh>
    <rPh sb="3" eb="7">
      <t>ヘンサイヨテイ</t>
    </rPh>
    <rPh sb="14" eb="17">
      <t>カリイレキン</t>
    </rPh>
    <phoneticPr fontId="2"/>
  </si>
  <si>
    <t>1年内償還予定の社債</t>
    <rPh sb="1" eb="3">
      <t>ネンナイ</t>
    </rPh>
    <rPh sb="3" eb="7">
      <t>ショウカンヨテイ</t>
    </rPh>
    <rPh sb="8" eb="10">
      <t>シャサイ</t>
    </rPh>
    <phoneticPr fontId="2"/>
  </si>
  <si>
    <t>リース債務</t>
    <rPh sb="3" eb="5">
      <t>サイム</t>
    </rPh>
    <phoneticPr fontId="2"/>
  </si>
  <si>
    <t>未払金</t>
    <rPh sb="0" eb="3">
      <t>ミハライキン</t>
    </rPh>
    <phoneticPr fontId="2"/>
  </si>
  <si>
    <t>未払法人税等</t>
    <rPh sb="0" eb="2">
      <t>ミハラ</t>
    </rPh>
    <rPh sb="2" eb="6">
      <t>ホウジンゼイトウ</t>
    </rPh>
    <phoneticPr fontId="2"/>
  </si>
  <si>
    <t>未成工事受入金</t>
    <rPh sb="0" eb="7">
      <t>ミセイコウジウケイレキン</t>
    </rPh>
    <phoneticPr fontId="2"/>
  </si>
  <si>
    <t>修繕引当金</t>
    <rPh sb="0" eb="5">
      <t>シュウゼンヒキアテキン</t>
    </rPh>
    <phoneticPr fontId="2"/>
  </si>
  <si>
    <t>賞与引当金</t>
    <rPh sb="0" eb="5">
      <t>ショウヨヒキアテキン</t>
    </rPh>
    <phoneticPr fontId="2"/>
  </si>
  <si>
    <t>役員賞与引当金</t>
    <rPh sb="0" eb="4">
      <t>ヤクインショウヨ</t>
    </rPh>
    <rPh sb="4" eb="7">
      <t>ヒキアテキン</t>
    </rPh>
    <phoneticPr fontId="2"/>
  </si>
  <si>
    <t>株式給付引当金</t>
    <rPh sb="0" eb="7">
      <t>カブシキキュウフヒキアテキン</t>
    </rPh>
    <phoneticPr fontId="2"/>
  </si>
  <si>
    <t>完成工事補償引当金</t>
    <rPh sb="0" eb="6">
      <t>カンセイコウジホショウ</t>
    </rPh>
    <rPh sb="6" eb="9">
      <t>ヒキアテキン</t>
    </rPh>
    <phoneticPr fontId="2"/>
  </si>
  <si>
    <t>工事損失引当金</t>
    <rPh sb="0" eb="4">
      <t>コウジソンシツ</t>
    </rPh>
    <rPh sb="4" eb="7">
      <t>ヒキアテキン</t>
    </rPh>
    <phoneticPr fontId="2"/>
  </si>
  <si>
    <t>公共施設等運営権に係る負債</t>
    <rPh sb="0" eb="5">
      <t>コウキョウシセツトウ</t>
    </rPh>
    <rPh sb="5" eb="8">
      <t>ウンエイケン</t>
    </rPh>
    <rPh sb="9" eb="10">
      <t>カカ</t>
    </rPh>
    <rPh sb="11" eb="13">
      <t>フサイ</t>
    </rPh>
    <phoneticPr fontId="2"/>
  </si>
  <si>
    <t>公共施設等運営事業の更新投資に係る負債</t>
    <rPh sb="0" eb="5">
      <t>コウキョウシセツトウ</t>
    </rPh>
    <rPh sb="5" eb="9">
      <t>ウンエイジギョウ</t>
    </rPh>
    <rPh sb="10" eb="14">
      <t>コウシントウシ</t>
    </rPh>
    <rPh sb="15" eb="16">
      <t>カカ</t>
    </rPh>
    <rPh sb="17" eb="19">
      <t>フサイ</t>
    </rPh>
    <phoneticPr fontId="2"/>
  </si>
  <si>
    <t>固定負債</t>
    <rPh sb="0" eb="4">
      <t>コテイフサイ</t>
    </rPh>
    <phoneticPr fontId="2"/>
  </si>
  <si>
    <t>社債</t>
    <rPh sb="0" eb="2">
      <t>シャサイ</t>
    </rPh>
    <phoneticPr fontId="2"/>
  </si>
  <si>
    <t>転換社債型新株予約権付社債</t>
    <rPh sb="0" eb="5">
      <t>テンカンシャサイガタ</t>
    </rPh>
    <rPh sb="5" eb="11">
      <t>シンカブヨヤクケンツ</t>
    </rPh>
    <rPh sb="11" eb="13">
      <t>シャサイ</t>
    </rPh>
    <phoneticPr fontId="2"/>
  </si>
  <si>
    <t>ノンリコース社債</t>
    <rPh sb="6" eb="8">
      <t>シャサイ</t>
    </rPh>
    <phoneticPr fontId="2"/>
  </si>
  <si>
    <t>長期借入金</t>
    <rPh sb="0" eb="5">
      <t>チョウキカリイレキン</t>
    </rPh>
    <phoneticPr fontId="2"/>
  </si>
  <si>
    <t>ノンリコース借入金</t>
    <rPh sb="6" eb="9">
      <t>カリイレキン</t>
    </rPh>
    <phoneticPr fontId="2"/>
  </si>
  <si>
    <t>繰延税金負債</t>
    <rPh sb="0" eb="4">
      <t>クリノベゼイキン</t>
    </rPh>
    <rPh sb="4" eb="6">
      <t>フサイ</t>
    </rPh>
    <phoneticPr fontId="2"/>
  </si>
  <si>
    <t>退職給付に係る負債</t>
    <rPh sb="0" eb="4">
      <t>タイショクキュウフ</t>
    </rPh>
    <rPh sb="5" eb="6">
      <t>カカ</t>
    </rPh>
    <rPh sb="7" eb="9">
      <t>フサイ</t>
    </rPh>
    <phoneticPr fontId="2"/>
  </si>
  <si>
    <t>債務保証損失引当金</t>
    <rPh sb="0" eb="6">
      <t>サイムホショウソンシツ</t>
    </rPh>
    <rPh sb="6" eb="9">
      <t>ヒキアテキン</t>
    </rPh>
    <phoneticPr fontId="2"/>
  </si>
  <si>
    <t>独占禁止法関連損失引当金</t>
    <rPh sb="0" eb="5">
      <t>ドクセンキンシホウ</t>
    </rPh>
    <rPh sb="5" eb="7">
      <t>カンレン</t>
    </rPh>
    <rPh sb="7" eb="9">
      <t>ソンシツ</t>
    </rPh>
    <rPh sb="9" eb="12">
      <t>ヒキアテキン</t>
    </rPh>
    <phoneticPr fontId="2"/>
  </si>
  <si>
    <t>負債合計</t>
    <rPh sb="0" eb="4">
      <t>フサイゴウケイ</t>
    </rPh>
    <phoneticPr fontId="2"/>
  </si>
  <si>
    <t>（純資産の部）</t>
    <rPh sb="1" eb="4">
      <t>ジュンシサン</t>
    </rPh>
    <rPh sb="5" eb="6">
      <t>ブ</t>
    </rPh>
    <phoneticPr fontId="2"/>
  </si>
  <si>
    <t>株主資本</t>
    <rPh sb="0" eb="4">
      <t>カブヌシシホン</t>
    </rPh>
    <phoneticPr fontId="2"/>
  </si>
  <si>
    <t>資本金</t>
    <rPh sb="0" eb="3">
      <t>シホンキン</t>
    </rPh>
    <phoneticPr fontId="2"/>
  </si>
  <si>
    <t>資本剰余金</t>
    <rPh sb="0" eb="5">
      <t>シホンジョウヨキン</t>
    </rPh>
    <phoneticPr fontId="2"/>
  </si>
  <si>
    <t>利益剰余金</t>
    <rPh sb="0" eb="5">
      <t>リエキジョウヨキン</t>
    </rPh>
    <phoneticPr fontId="2"/>
  </si>
  <si>
    <t>自己株式</t>
    <rPh sb="0" eb="4">
      <t>ジコカブシキ</t>
    </rPh>
    <phoneticPr fontId="2"/>
  </si>
  <si>
    <t>その他の包括利益累計額</t>
    <rPh sb="2" eb="3">
      <t>タ</t>
    </rPh>
    <rPh sb="4" eb="8">
      <t>ホウカツリエキ</t>
    </rPh>
    <rPh sb="8" eb="11">
      <t>ルイケイガク</t>
    </rPh>
    <phoneticPr fontId="2"/>
  </si>
  <si>
    <t>その他有価証券評価差額金</t>
    <rPh sb="2" eb="3">
      <t>タ</t>
    </rPh>
    <rPh sb="3" eb="7">
      <t>ユウカショウケン</t>
    </rPh>
    <rPh sb="7" eb="12">
      <t>ヒョウカサガクキン</t>
    </rPh>
    <phoneticPr fontId="2"/>
  </si>
  <si>
    <t>繰延ヘッジ損益</t>
    <rPh sb="0" eb="2">
      <t>クリノベ</t>
    </rPh>
    <rPh sb="5" eb="7">
      <t>ソンエキ</t>
    </rPh>
    <phoneticPr fontId="2"/>
  </si>
  <si>
    <t>為替換算調整勘定</t>
    <rPh sb="0" eb="4">
      <t>カワセカンサン</t>
    </rPh>
    <rPh sb="4" eb="8">
      <t>チョウセイカンジョウ</t>
    </rPh>
    <phoneticPr fontId="2"/>
  </si>
  <si>
    <t>退職給付に係る調整累計額</t>
    <rPh sb="0" eb="4">
      <t>タイショクキュウフ</t>
    </rPh>
    <rPh sb="5" eb="6">
      <t>カカ</t>
    </rPh>
    <rPh sb="7" eb="12">
      <t>チョウセイルイケイガク</t>
    </rPh>
    <phoneticPr fontId="2"/>
  </si>
  <si>
    <t>非支配株主持分</t>
    <rPh sb="0" eb="5">
      <t>ヒシハイカブヌシ</t>
    </rPh>
    <rPh sb="5" eb="7">
      <t>モチブン</t>
    </rPh>
    <phoneticPr fontId="2"/>
  </si>
  <si>
    <t>純資産合計</t>
    <rPh sb="0" eb="3">
      <t>ジュンシサン</t>
    </rPh>
    <rPh sb="3" eb="5">
      <t>ゴウケイ</t>
    </rPh>
    <phoneticPr fontId="2"/>
  </si>
  <si>
    <t>負債・純資産合計</t>
    <rPh sb="0" eb="2">
      <t>フサイ</t>
    </rPh>
    <rPh sb="3" eb="6">
      <t>ジュンシサン</t>
    </rPh>
    <rPh sb="6" eb="8">
      <t>ゴウケイ</t>
    </rPh>
    <phoneticPr fontId="2"/>
  </si>
  <si>
    <t>自己資本比率</t>
    <rPh sb="0" eb="6">
      <t>ジコシホンヒリツ</t>
    </rPh>
    <phoneticPr fontId="2"/>
  </si>
  <si>
    <t>現金及び現金同等物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phoneticPr fontId="3"/>
  </si>
  <si>
    <t>営業債権及びその他の債権</t>
    <rPh sb="0" eb="2">
      <t>エイギョウ</t>
    </rPh>
    <rPh sb="2" eb="4">
      <t>サイケン</t>
    </rPh>
    <rPh sb="4" eb="5">
      <t>オヨ</t>
    </rPh>
    <rPh sb="8" eb="9">
      <t>タ</t>
    </rPh>
    <rPh sb="10" eb="12">
      <t>サイケン</t>
    </rPh>
    <phoneticPr fontId="3"/>
  </si>
  <si>
    <t>契約資産</t>
    <rPh sb="0" eb="2">
      <t>ケイヤク</t>
    </rPh>
    <rPh sb="2" eb="4">
      <t>シサン</t>
    </rPh>
    <phoneticPr fontId="2"/>
  </si>
  <si>
    <t>棚卸資産</t>
    <rPh sb="0" eb="2">
      <t>タナオロシ</t>
    </rPh>
    <rPh sb="2" eb="4">
      <t>シサン</t>
    </rPh>
    <phoneticPr fontId="3"/>
  </si>
  <si>
    <t>その他の金融資産</t>
    <rPh sb="2" eb="3">
      <t>タ</t>
    </rPh>
    <rPh sb="4" eb="6">
      <t>キンユウ</t>
    </rPh>
    <rPh sb="6" eb="8">
      <t>シサン</t>
    </rPh>
    <phoneticPr fontId="3"/>
  </si>
  <si>
    <t>その他の流動資産</t>
    <rPh sb="2" eb="3">
      <t>タ</t>
    </rPh>
    <rPh sb="4" eb="6">
      <t>リュウドウ</t>
    </rPh>
    <rPh sb="6" eb="8">
      <t>シサン</t>
    </rPh>
    <phoneticPr fontId="3"/>
  </si>
  <si>
    <t>売却目的で保有する資産</t>
  </si>
  <si>
    <t>非流動資産</t>
    <rPh sb="0" eb="1">
      <t>ヒ</t>
    </rPh>
    <rPh sb="1" eb="3">
      <t>リュウドウ</t>
    </rPh>
    <rPh sb="3" eb="5">
      <t>シサン</t>
    </rPh>
    <phoneticPr fontId="2"/>
  </si>
  <si>
    <t>有形固定資産</t>
    <rPh sb="0" eb="2">
      <t>ユウケイ</t>
    </rPh>
    <rPh sb="2" eb="4">
      <t>コテイ</t>
    </rPh>
    <rPh sb="4" eb="6">
      <t>シサン</t>
    </rPh>
    <phoneticPr fontId="3"/>
  </si>
  <si>
    <t>使用権資産</t>
    <rPh sb="0" eb="5">
      <t>シヨウケンシサン</t>
    </rPh>
    <phoneticPr fontId="2"/>
  </si>
  <si>
    <t>のれん</t>
  </si>
  <si>
    <t>無形資産</t>
    <rPh sb="0" eb="2">
      <t>ムケイ</t>
    </rPh>
    <rPh sb="2" eb="4">
      <t>シサン</t>
    </rPh>
    <phoneticPr fontId="3"/>
  </si>
  <si>
    <t>投資不動産</t>
    <rPh sb="0" eb="2">
      <t>トウシ</t>
    </rPh>
    <rPh sb="2" eb="5">
      <t>フドウサン</t>
    </rPh>
    <phoneticPr fontId="3"/>
  </si>
  <si>
    <t>持分法で会計処理されている投資</t>
    <rPh sb="0" eb="2">
      <t>モチブン</t>
    </rPh>
    <rPh sb="2" eb="3">
      <t>ホウ</t>
    </rPh>
    <rPh sb="4" eb="6">
      <t>カイケイ</t>
    </rPh>
    <rPh sb="6" eb="8">
      <t>ショリ</t>
    </rPh>
    <rPh sb="13" eb="15">
      <t>トウシ</t>
    </rPh>
    <phoneticPr fontId="3"/>
  </si>
  <si>
    <t>繰延税金資産</t>
    <rPh sb="0" eb="2">
      <t>クリノベ</t>
    </rPh>
    <rPh sb="2" eb="4">
      <t>ゼイキン</t>
    </rPh>
    <rPh sb="4" eb="6">
      <t>シサン</t>
    </rPh>
    <phoneticPr fontId="3"/>
  </si>
  <si>
    <t>その他の非流動資産</t>
    <rPh sb="2" eb="3">
      <t>タ</t>
    </rPh>
    <rPh sb="4" eb="5">
      <t>ヒ</t>
    </rPh>
    <rPh sb="5" eb="7">
      <t>リュウドウ</t>
    </rPh>
    <rPh sb="7" eb="9">
      <t>シサン</t>
    </rPh>
    <phoneticPr fontId="3"/>
  </si>
  <si>
    <t>営業債務及びその他の債務</t>
    <rPh sb="0" eb="2">
      <t>エイギョウ</t>
    </rPh>
    <rPh sb="2" eb="4">
      <t>サイム</t>
    </rPh>
    <rPh sb="4" eb="5">
      <t>オヨ</t>
    </rPh>
    <rPh sb="8" eb="9">
      <t>タ</t>
    </rPh>
    <rPh sb="10" eb="12">
      <t>サイム</t>
    </rPh>
    <phoneticPr fontId="3"/>
  </si>
  <si>
    <t>社債及び借入金</t>
    <rPh sb="0" eb="2">
      <t>シャサイ</t>
    </rPh>
    <rPh sb="2" eb="3">
      <t>オヨ</t>
    </rPh>
    <rPh sb="4" eb="6">
      <t>カリイレ</t>
    </rPh>
    <rPh sb="6" eb="7">
      <t>キン</t>
    </rPh>
    <phoneticPr fontId="3"/>
  </si>
  <si>
    <t>リース負債</t>
    <rPh sb="3" eb="5">
      <t>フサイ</t>
    </rPh>
    <phoneticPr fontId="2"/>
  </si>
  <si>
    <t>未払法人所得税等</t>
    <rPh sb="0" eb="2">
      <t>ミハラ</t>
    </rPh>
    <rPh sb="2" eb="4">
      <t>ホウジン</t>
    </rPh>
    <rPh sb="4" eb="7">
      <t>ショトクゼイ</t>
    </rPh>
    <rPh sb="7" eb="8">
      <t>ナド</t>
    </rPh>
    <phoneticPr fontId="3"/>
  </si>
  <si>
    <t>その他の金融負債</t>
    <rPh sb="2" eb="3">
      <t>タ</t>
    </rPh>
    <rPh sb="4" eb="6">
      <t>キンユウ</t>
    </rPh>
    <rPh sb="6" eb="8">
      <t>フサイ</t>
    </rPh>
    <phoneticPr fontId="3"/>
  </si>
  <si>
    <t>引当金</t>
    <rPh sb="0" eb="2">
      <t>ヒキアテ</t>
    </rPh>
    <rPh sb="2" eb="3">
      <t>キン</t>
    </rPh>
    <phoneticPr fontId="3"/>
  </si>
  <si>
    <t>その他の流動負債</t>
    <rPh sb="2" eb="3">
      <t>タ</t>
    </rPh>
    <rPh sb="4" eb="6">
      <t>リュウドウ</t>
    </rPh>
    <rPh sb="6" eb="8">
      <t>フサイ</t>
    </rPh>
    <phoneticPr fontId="3"/>
  </si>
  <si>
    <t>売却目的で保有する資産に直接関連する負債</t>
  </si>
  <si>
    <t>非流動負債</t>
    <rPh sb="0" eb="1">
      <t>ヒ</t>
    </rPh>
    <rPh sb="1" eb="3">
      <t>リュウドウ</t>
    </rPh>
    <rPh sb="3" eb="5">
      <t>フサイ</t>
    </rPh>
    <phoneticPr fontId="2"/>
  </si>
  <si>
    <t>社債及び借入金</t>
  </si>
  <si>
    <t>退職給付に係る負債</t>
    <rPh sb="0" eb="2">
      <t>タイショク</t>
    </rPh>
    <rPh sb="2" eb="4">
      <t>キュウフ</t>
    </rPh>
    <rPh sb="5" eb="6">
      <t>カカ</t>
    </rPh>
    <rPh sb="7" eb="9">
      <t>フサイ</t>
    </rPh>
    <phoneticPr fontId="3"/>
  </si>
  <si>
    <t>繰延税金負債</t>
    <rPh sb="0" eb="2">
      <t>クリノベ</t>
    </rPh>
    <rPh sb="2" eb="4">
      <t>ゼイキン</t>
    </rPh>
    <rPh sb="4" eb="6">
      <t>フサイ</t>
    </rPh>
    <phoneticPr fontId="3"/>
  </si>
  <si>
    <t>その他の非流動負債</t>
    <rPh sb="2" eb="3">
      <t>タ</t>
    </rPh>
    <rPh sb="4" eb="5">
      <t>ヒ</t>
    </rPh>
    <rPh sb="5" eb="7">
      <t>リュウドウ</t>
    </rPh>
    <rPh sb="7" eb="9">
      <t>フサイ</t>
    </rPh>
    <phoneticPr fontId="3"/>
  </si>
  <si>
    <t>（資本の部）</t>
    <rPh sb="1" eb="3">
      <t>シホン</t>
    </rPh>
    <rPh sb="4" eb="5">
      <t>ブ</t>
    </rPh>
    <phoneticPr fontId="2"/>
  </si>
  <si>
    <t>資本</t>
    <rPh sb="0" eb="2">
      <t>シホン</t>
    </rPh>
    <phoneticPr fontId="2"/>
  </si>
  <si>
    <t>資本金</t>
    <rPh sb="0" eb="3">
      <t>シホンキン</t>
    </rPh>
    <phoneticPr fontId="3"/>
  </si>
  <si>
    <t>資本剰余金</t>
    <rPh sb="0" eb="2">
      <t>シホン</t>
    </rPh>
    <rPh sb="2" eb="5">
      <t>ジョウヨキン</t>
    </rPh>
    <phoneticPr fontId="3"/>
  </si>
  <si>
    <t>自己株式</t>
    <rPh sb="0" eb="2">
      <t>ジコ</t>
    </rPh>
    <rPh sb="2" eb="4">
      <t>カブシキ</t>
    </rPh>
    <phoneticPr fontId="3"/>
  </si>
  <si>
    <t>利益剰余金</t>
    <rPh sb="0" eb="2">
      <t>リエキ</t>
    </rPh>
    <rPh sb="2" eb="5">
      <t>ジョウヨキン</t>
    </rPh>
    <phoneticPr fontId="3"/>
  </si>
  <si>
    <t>その他の資本の構成要素</t>
    <rPh sb="2" eb="3">
      <t>タ</t>
    </rPh>
    <rPh sb="4" eb="6">
      <t>シホン</t>
    </rPh>
    <rPh sb="7" eb="9">
      <t>コウセイ</t>
    </rPh>
    <rPh sb="9" eb="11">
      <t>ヨウソ</t>
    </rPh>
    <phoneticPr fontId="3"/>
  </si>
  <si>
    <t>親会社の所有者に帰属する持分合計</t>
  </si>
  <si>
    <t>非支配株主持分</t>
  </si>
  <si>
    <t>資本合計</t>
    <rPh sb="0" eb="2">
      <t>シホン</t>
    </rPh>
    <rPh sb="2" eb="4">
      <t>ゴウケイ</t>
    </rPh>
    <phoneticPr fontId="2"/>
  </si>
  <si>
    <t>負債・資本合計</t>
    <rPh sb="0" eb="2">
      <t>フサイ</t>
    </rPh>
    <rPh sb="3" eb="5">
      <t>シホン</t>
    </rPh>
    <rPh sb="5" eb="7">
      <t>ゴウケイ</t>
    </rPh>
    <phoneticPr fontId="2"/>
  </si>
  <si>
    <t>売上高</t>
    <rPh sb="0" eb="2">
      <t>ウリアゲ</t>
    </rPh>
    <rPh sb="2" eb="3">
      <t>コウコウ</t>
    </rPh>
    <phoneticPr fontId="2"/>
  </si>
  <si>
    <t>売上総利益</t>
    <rPh sb="0" eb="2">
      <t>ウリアゲ</t>
    </rPh>
    <rPh sb="2" eb="5">
      <t>ソウリエキ</t>
    </rPh>
    <phoneticPr fontId="2"/>
  </si>
  <si>
    <t>売上総利益率</t>
    <rPh sb="0" eb="2">
      <t>ウリアゲ</t>
    </rPh>
    <rPh sb="2" eb="3">
      <t>ソウ</t>
    </rPh>
    <rPh sb="3" eb="5">
      <t>リエキ</t>
    </rPh>
    <rPh sb="5" eb="6">
      <t>リツ</t>
    </rPh>
    <phoneticPr fontId="2"/>
  </si>
  <si>
    <t>販売費及び一般管理費</t>
    <rPh sb="0" eb="3">
      <t>ハンバイヒ</t>
    </rPh>
    <rPh sb="3" eb="4">
      <t>オヨ</t>
    </rPh>
    <rPh sb="5" eb="7">
      <t>イッパン</t>
    </rPh>
    <rPh sb="7" eb="10">
      <t>カンリヒ</t>
    </rPh>
    <phoneticPr fontId="2"/>
  </si>
  <si>
    <t>営業利益</t>
    <rPh sb="0" eb="2">
      <t>エイギョウ</t>
    </rPh>
    <rPh sb="2" eb="4">
      <t>リエキ</t>
    </rPh>
    <phoneticPr fontId="2"/>
  </si>
  <si>
    <t>営業利益率</t>
    <rPh sb="0" eb="2">
      <t>エイギョウ</t>
    </rPh>
    <rPh sb="2" eb="4">
      <t>リエキ</t>
    </rPh>
    <rPh sb="4" eb="5">
      <t>リツ</t>
    </rPh>
    <phoneticPr fontId="2"/>
  </si>
  <si>
    <t>営業外収益</t>
    <rPh sb="0" eb="3">
      <t>エイギョウガイ</t>
    </rPh>
    <rPh sb="3" eb="5">
      <t>シュウエキ</t>
    </rPh>
    <phoneticPr fontId="2"/>
  </si>
  <si>
    <t>受取利息</t>
    <rPh sb="0" eb="2">
      <t>ウケトリ</t>
    </rPh>
    <rPh sb="2" eb="4">
      <t>リソク</t>
    </rPh>
    <phoneticPr fontId="2"/>
  </si>
  <si>
    <t>受取配当金</t>
    <rPh sb="0" eb="5">
      <t>ウケトリハイトウキン</t>
    </rPh>
    <phoneticPr fontId="2"/>
  </si>
  <si>
    <t>為替差益</t>
    <rPh sb="0" eb="4">
      <t>カワセサエキ</t>
    </rPh>
    <phoneticPr fontId="2"/>
  </si>
  <si>
    <t>持分法投資利益</t>
  </si>
  <si>
    <t>営業外費用</t>
    <rPh sb="0" eb="3">
      <t>エイギョウガイ</t>
    </rPh>
    <rPh sb="3" eb="5">
      <t>ヒヨウ</t>
    </rPh>
    <phoneticPr fontId="2"/>
  </si>
  <si>
    <t>支払利息</t>
    <rPh sb="0" eb="2">
      <t>シハラ</t>
    </rPh>
    <rPh sb="2" eb="4">
      <t>リソク</t>
    </rPh>
    <phoneticPr fontId="2"/>
  </si>
  <si>
    <t>シンジケートローン手数料</t>
    <rPh sb="9" eb="12">
      <t>テスウリョウ</t>
    </rPh>
    <phoneticPr fontId="2"/>
  </si>
  <si>
    <t>為替差損</t>
    <rPh sb="0" eb="2">
      <t>カワセ</t>
    </rPh>
    <rPh sb="2" eb="4">
      <t>サソン</t>
    </rPh>
    <phoneticPr fontId="2"/>
  </si>
  <si>
    <t>営業外収支</t>
    <rPh sb="0" eb="3">
      <t>エイギョウガイ</t>
    </rPh>
    <rPh sb="3" eb="5">
      <t>シュウシ</t>
    </rPh>
    <phoneticPr fontId="2"/>
  </si>
  <si>
    <t>経常利益</t>
    <rPh sb="0" eb="2">
      <t>ケイジョウ</t>
    </rPh>
    <rPh sb="2" eb="4">
      <t>リエキ</t>
    </rPh>
    <phoneticPr fontId="2"/>
  </si>
  <si>
    <t>経常利益率</t>
    <rPh sb="0" eb="2">
      <t>ケイジョウ</t>
    </rPh>
    <rPh sb="2" eb="4">
      <t>リエキ</t>
    </rPh>
    <rPh sb="4" eb="5">
      <t>リツ</t>
    </rPh>
    <phoneticPr fontId="2"/>
  </si>
  <si>
    <t>特別利益</t>
    <rPh sb="0" eb="2">
      <t>トクベツ</t>
    </rPh>
    <rPh sb="2" eb="4">
      <t>リエキ</t>
    </rPh>
    <phoneticPr fontId="2"/>
  </si>
  <si>
    <t>特別損失</t>
    <rPh sb="0" eb="2">
      <t>トクベツ</t>
    </rPh>
    <rPh sb="2" eb="4">
      <t>ソンシツ</t>
    </rPh>
    <phoneticPr fontId="2"/>
  </si>
  <si>
    <t>特別収支</t>
    <rPh sb="0" eb="2">
      <t>トクベツ</t>
    </rPh>
    <rPh sb="2" eb="4">
      <t>シュウシ</t>
    </rPh>
    <phoneticPr fontId="2"/>
  </si>
  <si>
    <t>税引前当期純利益</t>
    <rPh sb="0" eb="2">
      <t>ゼイビキ</t>
    </rPh>
    <rPh sb="2" eb="3">
      <t>マエ</t>
    </rPh>
    <rPh sb="3" eb="5">
      <t>トウキ</t>
    </rPh>
    <rPh sb="5" eb="8">
      <t>ジュンリエキ</t>
    </rPh>
    <phoneticPr fontId="2"/>
  </si>
  <si>
    <t>税引前当期純利益率</t>
    <rPh sb="0" eb="2">
      <t>ゼイビキ</t>
    </rPh>
    <rPh sb="2" eb="3">
      <t>マエ</t>
    </rPh>
    <rPh sb="3" eb="5">
      <t>トウキ</t>
    </rPh>
    <rPh sb="5" eb="8">
      <t>ジュンリエキ</t>
    </rPh>
    <rPh sb="8" eb="9">
      <t>リツ</t>
    </rPh>
    <phoneticPr fontId="2"/>
  </si>
  <si>
    <t>法人税等</t>
    <rPh sb="0" eb="3">
      <t>ホウジンゼイ</t>
    </rPh>
    <rPh sb="3" eb="4">
      <t>トウ</t>
    </rPh>
    <phoneticPr fontId="2"/>
  </si>
  <si>
    <t>非支配株主に帰属する
当期純利益</t>
    <rPh sb="0" eb="1">
      <t>ヒ</t>
    </rPh>
    <rPh sb="1" eb="3">
      <t>シハイ</t>
    </rPh>
    <rPh sb="3" eb="5">
      <t>カブヌシ</t>
    </rPh>
    <rPh sb="6" eb="8">
      <t>キゾク</t>
    </rPh>
    <rPh sb="11" eb="13">
      <t>トウキ</t>
    </rPh>
    <rPh sb="13" eb="14">
      <t>ジュン</t>
    </rPh>
    <rPh sb="14" eb="16">
      <t>リエキ</t>
    </rPh>
    <phoneticPr fontId="2"/>
  </si>
  <si>
    <t>親会社株主に帰属する
当期純利益</t>
    <rPh sb="0" eb="3">
      <t>オヤガイシャ</t>
    </rPh>
    <rPh sb="3" eb="5">
      <t>カブヌシ</t>
    </rPh>
    <rPh sb="6" eb="8">
      <t>キゾク</t>
    </rPh>
    <rPh sb="11" eb="16">
      <t>トウキジュンリエキ</t>
    </rPh>
    <phoneticPr fontId="2"/>
  </si>
  <si>
    <t>当期純利益率</t>
    <rPh sb="0" eb="2">
      <t>トウキ</t>
    </rPh>
    <rPh sb="2" eb="5">
      <t>ジュンリエキ</t>
    </rPh>
    <rPh sb="5" eb="6">
      <t>リツ</t>
    </rPh>
    <phoneticPr fontId="2"/>
  </si>
  <si>
    <t>持分法による投資利益</t>
    <phoneticPr fontId="2"/>
  </si>
  <si>
    <t>事業利益</t>
    <phoneticPr fontId="2"/>
  </si>
  <si>
    <t>事業利益率</t>
    <rPh sb="4" eb="5">
      <t>リツ</t>
    </rPh>
    <phoneticPr fontId="2"/>
  </si>
  <si>
    <t>その他の収益</t>
  </si>
  <si>
    <t>その他の費用</t>
    <rPh sb="2" eb="3">
      <t>タ</t>
    </rPh>
    <rPh sb="4" eb="6">
      <t>ヒヨウ</t>
    </rPh>
    <phoneticPr fontId="2"/>
  </si>
  <si>
    <t>その他の収支</t>
    <rPh sb="2" eb="3">
      <t>タ</t>
    </rPh>
    <rPh sb="4" eb="6">
      <t>シュウシ</t>
    </rPh>
    <phoneticPr fontId="2"/>
  </si>
  <si>
    <t>金融収益</t>
    <rPh sb="0" eb="2">
      <t>キンユウ</t>
    </rPh>
    <rPh sb="2" eb="4">
      <t>シュウエキ</t>
    </rPh>
    <phoneticPr fontId="3"/>
  </si>
  <si>
    <t>金融費用</t>
    <rPh sb="0" eb="2">
      <t>キンユウ</t>
    </rPh>
    <rPh sb="2" eb="4">
      <t>ヒヨウ</t>
    </rPh>
    <phoneticPr fontId="3"/>
  </si>
  <si>
    <t>金融収支</t>
    <rPh sb="0" eb="2">
      <t>キンユウ</t>
    </rPh>
    <rPh sb="2" eb="4">
      <t>シュウシ</t>
    </rPh>
    <phoneticPr fontId="2"/>
  </si>
  <si>
    <t>法人所得税費用</t>
    <rPh sb="0" eb="2">
      <t>ホウジン</t>
    </rPh>
    <rPh sb="2" eb="5">
      <t>ショトクゼイ</t>
    </rPh>
    <rPh sb="5" eb="7">
      <t>ヒヨウ</t>
    </rPh>
    <phoneticPr fontId="2"/>
  </si>
  <si>
    <t>非支配持分　当期利益</t>
    <rPh sb="0" eb="1">
      <t>ヒ</t>
    </rPh>
    <rPh sb="1" eb="3">
      <t>シハイ</t>
    </rPh>
    <rPh sb="3" eb="5">
      <t>モチブン</t>
    </rPh>
    <rPh sb="6" eb="10">
      <t>トウキリエキ</t>
    </rPh>
    <phoneticPr fontId="3"/>
  </si>
  <si>
    <t>親会社の所有者　当期利益</t>
    <rPh sb="0" eb="1">
      <t>オヤ</t>
    </rPh>
    <rPh sb="1" eb="3">
      <t>カイシャ</t>
    </rPh>
    <rPh sb="4" eb="7">
      <t>ショユウシャ</t>
    </rPh>
    <rPh sb="8" eb="12">
      <t>トウキリエキ</t>
    </rPh>
    <phoneticPr fontId="3"/>
  </si>
  <si>
    <t>会計年度</t>
  </si>
  <si>
    <t>① 建築事業</t>
    <rPh sb="2" eb="4">
      <t>ケンチク</t>
    </rPh>
    <rPh sb="4" eb="6">
      <t>ジギョウ</t>
    </rPh>
    <phoneticPr fontId="30"/>
  </si>
  <si>
    <t>売上高</t>
  </si>
  <si>
    <t>セグメント利益</t>
    <phoneticPr fontId="2"/>
  </si>
  <si>
    <t>セグメント利益率</t>
    <rPh sb="5" eb="7">
      <t>リエキ</t>
    </rPh>
    <rPh sb="7" eb="8">
      <t>リツ</t>
    </rPh>
    <phoneticPr fontId="2"/>
  </si>
  <si>
    <t>② 土木事業</t>
    <rPh sb="2" eb="4">
      <t>ドボク</t>
    </rPh>
    <rPh sb="4" eb="6">
      <t>ジギョウ</t>
    </rPh>
    <phoneticPr fontId="30"/>
  </si>
  <si>
    <t>③ 舗装事業</t>
    <rPh sb="2" eb="4">
      <t>ホソウ</t>
    </rPh>
    <rPh sb="4" eb="5">
      <t>ゴト</t>
    </rPh>
    <phoneticPr fontId="30"/>
  </si>
  <si>
    <t>④ 機械事業</t>
    <rPh sb="2" eb="4">
      <t>キカイ</t>
    </rPh>
    <rPh sb="4" eb="6">
      <t>ジギョウ</t>
    </rPh>
    <phoneticPr fontId="30"/>
  </si>
  <si>
    <t>⑤ インフラ運営事業</t>
    <rPh sb="6" eb="8">
      <t>ウンエイ</t>
    </rPh>
    <rPh sb="8" eb="10">
      <t>ジギョウ</t>
    </rPh>
    <phoneticPr fontId="30"/>
  </si>
  <si>
    <t>セグメント利益</t>
  </si>
  <si>
    <t>*1　</t>
    <phoneticPr fontId="2"/>
  </si>
  <si>
    <t>*2　</t>
  </si>
  <si>
    <t>*3　</t>
  </si>
  <si>
    <t>2023年3月期以降はIFRS基準の数値、2022年3月期以前は日本基準の売上高・営業利益・営業利益率の数値となります。</t>
    <rPh sb="4" eb="5">
      <t>ネン</t>
    </rPh>
    <rPh sb="6" eb="8">
      <t>ガツキ</t>
    </rPh>
    <rPh sb="8" eb="10">
      <t>イコウ</t>
    </rPh>
    <rPh sb="15" eb="17">
      <t>キジュン</t>
    </rPh>
    <rPh sb="18" eb="20">
      <t>スウチ</t>
    </rPh>
    <rPh sb="25" eb="26">
      <t>ネン</t>
    </rPh>
    <rPh sb="27" eb="29">
      <t>ガツキ</t>
    </rPh>
    <rPh sb="29" eb="31">
      <t>イゼン</t>
    </rPh>
    <rPh sb="32" eb="34">
      <t>ニホン</t>
    </rPh>
    <rPh sb="34" eb="36">
      <t>キジュン</t>
    </rPh>
    <rPh sb="37" eb="40">
      <t>ウリアゲダカ</t>
    </rPh>
    <rPh sb="41" eb="45">
      <t>エイギョウリエキ</t>
    </rPh>
    <rPh sb="46" eb="51">
      <t>エイギョウリエキリツ</t>
    </rPh>
    <rPh sb="52" eb="54">
      <t>スウチ</t>
    </rPh>
    <phoneticPr fontId="2"/>
  </si>
  <si>
    <t>（単位：百万円）</t>
  </si>
  <si>
    <t>○ 前田建設工業㈱</t>
    <rPh sb="2" eb="8">
      <t>マエダケンセツコウギョウ</t>
    </rPh>
    <phoneticPr fontId="30"/>
  </si>
  <si>
    <t>営業利益</t>
    <phoneticPr fontId="30"/>
  </si>
  <si>
    <t>経常利益</t>
  </si>
  <si>
    <t>当期純利益</t>
    <rPh sb="2" eb="3">
      <t>ジュン</t>
    </rPh>
    <phoneticPr fontId="30"/>
  </si>
  <si>
    <t>総資産</t>
  </si>
  <si>
    <t>有利子負債</t>
    <rPh sb="0" eb="1">
      <t>ユウ</t>
    </rPh>
    <rPh sb="1" eb="3">
      <t>リシ</t>
    </rPh>
    <rPh sb="3" eb="5">
      <t>フサイ</t>
    </rPh>
    <phoneticPr fontId="2"/>
  </si>
  <si>
    <t>純資産</t>
    <rPh sb="0" eb="3">
      <t>ジュンシサン</t>
    </rPh>
    <phoneticPr fontId="2"/>
  </si>
  <si>
    <t>○ 前田道路㈱</t>
    <rPh sb="2" eb="6">
      <t>マエダドウロ</t>
    </rPh>
    <phoneticPr fontId="30"/>
  </si>
  <si>
    <t>-</t>
    <phoneticPr fontId="2"/>
  </si>
  <si>
    <t>【連結経営指標等】</t>
    <rPh sb="1" eb="3">
      <t>レンケツ</t>
    </rPh>
    <rPh sb="3" eb="8">
      <t>ケイエイシヒョウトウ</t>
    </rPh>
    <phoneticPr fontId="2"/>
  </si>
  <si>
    <t>売上高（単位：百万円）</t>
    <rPh sb="0" eb="3">
      <t>ウリアゲダカ</t>
    </rPh>
    <phoneticPr fontId="2"/>
  </si>
  <si>
    <t>経常利益（単位：百万円）</t>
    <rPh sb="0" eb="4">
      <t>ケイジョウリエキ</t>
    </rPh>
    <phoneticPr fontId="2"/>
  </si>
  <si>
    <t>税引前当期純利益(単位：百万円)</t>
    <rPh sb="9" eb="11">
      <t>タンイ</t>
    </rPh>
    <rPh sb="12" eb="15">
      <t>ヒャクマンエン</t>
    </rPh>
    <phoneticPr fontId="2"/>
  </si>
  <si>
    <t>親会社株主に帰属する当期純利益（単位：百万円）</t>
    <rPh sb="0" eb="5">
      <t>オヤガイシャカブヌシ</t>
    </rPh>
    <rPh sb="6" eb="8">
      <t>キゾク</t>
    </rPh>
    <rPh sb="10" eb="15">
      <t>トウキジュンリエキ</t>
    </rPh>
    <phoneticPr fontId="2"/>
  </si>
  <si>
    <t>包括利益（単位：百万円）</t>
    <rPh sb="0" eb="2">
      <t>ホウカツ</t>
    </rPh>
    <rPh sb="2" eb="4">
      <t>リエキ</t>
    </rPh>
    <phoneticPr fontId="2"/>
  </si>
  <si>
    <t>純資産額（単位：百万円）</t>
    <rPh sb="0" eb="4">
      <t>ジュンシサンガク</t>
    </rPh>
    <phoneticPr fontId="2"/>
  </si>
  <si>
    <t>総資産額（単位：百万円）</t>
    <rPh sb="0" eb="4">
      <t>ソウシサンガク</t>
    </rPh>
    <phoneticPr fontId="2"/>
  </si>
  <si>
    <t>営業活動によるキャッシュ・フロー（単位：百万円）</t>
    <rPh sb="0" eb="2">
      <t>エイギョウ</t>
    </rPh>
    <rPh sb="2" eb="4">
      <t>カツドウ</t>
    </rPh>
    <phoneticPr fontId="2"/>
  </si>
  <si>
    <t>投資活動によるキャッシュ・フロー（単位：百万円）</t>
    <rPh sb="0" eb="2">
      <t>トウシ</t>
    </rPh>
    <rPh sb="2" eb="4">
      <t>カツドウ</t>
    </rPh>
    <phoneticPr fontId="2"/>
  </si>
  <si>
    <t>財務活動によるキャッシュ・フロー（単位：百万円）</t>
    <rPh sb="0" eb="2">
      <t>ザイム</t>
    </rPh>
    <rPh sb="2" eb="4">
      <t>カツドウ</t>
    </rPh>
    <phoneticPr fontId="2"/>
  </si>
  <si>
    <t>現金及び現金同等物の期末残高（単位：百万円）</t>
    <rPh sb="0" eb="2">
      <t>ゲンキン</t>
    </rPh>
    <rPh sb="2" eb="3">
      <t>オヨ</t>
    </rPh>
    <rPh sb="4" eb="9">
      <t>ゲンキンドウトウブツ</t>
    </rPh>
    <rPh sb="10" eb="12">
      <t>キマツ</t>
    </rPh>
    <rPh sb="12" eb="14">
      <t>ザンダカ</t>
    </rPh>
    <phoneticPr fontId="2"/>
  </si>
  <si>
    <t>自己資本比率（単位：％）</t>
    <rPh sb="0" eb="6">
      <t>ジコシホンヒリツ</t>
    </rPh>
    <phoneticPr fontId="2"/>
  </si>
  <si>
    <t>D/Eレシオ（単位：倍）</t>
    <rPh sb="10" eb="11">
      <t>バイ</t>
    </rPh>
    <phoneticPr fontId="2"/>
  </si>
  <si>
    <t>株価収益率（単位：倍）</t>
    <rPh sb="0" eb="2">
      <t>カブカ</t>
    </rPh>
    <rPh sb="2" eb="5">
      <t>シュウエキリツ</t>
    </rPh>
    <rPh sb="9" eb="10">
      <t>バイ</t>
    </rPh>
    <phoneticPr fontId="2"/>
  </si>
  <si>
    <t>配当性向（単位：％）</t>
    <rPh sb="0" eb="2">
      <t>ハイトウ</t>
    </rPh>
    <rPh sb="2" eb="4">
      <t>セイコウ</t>
    </rPh>
    <phoneticPr fontId="2"/>
  </si>
  <si>
    <t>総還元性向（単位：％）</t>
    <rPh sb="0" eb="3">
      <t>ソウカンゲン</t>
    </rPh>
    <rPh sb="3" eb="4">
      <t>セイ</t>
    </rPh>
    <rPh sb="4" eb="5">
      <t>コウ</t>
    </rPh>
    <phoneticPr fontId="2"/>
  </si>
  <si>
    <t>一株当たり純資産額（単位：円）</t>
    <rPh sb="0" eb="3">
      <t>ヒトカブア</t>
    </rPh>
    <rPh sb="5" eb="9">
      <t>ジュンシサンガク</t>
    </rPh>
    <phoneticPr fontId="2"/>
  </si>
  <si>
    <t>一株当たり当期純利益（単位：円）</t>
    <rPh sb="0" eb="3">
      <t>ヒトカブア</t>
    </rPh>
    <rPh sb="5" eb="10">
      <t>トウキジュンリエキ</t>
    </rPh>
    <phoneticPr fontId="2"/>
  </si>
  <si>
    <t>*1</t>
  </si>
  <si>
    <t>2023年3月期以降はIFRS基準の数値となります。</t>
    <phoneticPr fontId="2"/>
  </si>
  <si>
    <t>（単位：百万円）</t>
    <phoneticPr fontId="2"/>
  </si>
  <si>
    <t>【金融収支】</t>
    <rPh sb="1" eb="5">
      <t>キンユウシュウシ</t>
    </rPh>
    <phoneticPr fontId="2"/>
  </si>
  <si>
    <t>金融収支</t>
    <rPh sb="0" eb="4">
      <t>キンユウシュウシ</t>
    </rPh>
    <phoneticPr fontId="2"/>
  </si>
  <si>
    <t>【有利子負債残高の状況】</t>
    <rPh sb="1" eb="2">
      <t>ユウ</t>
    </rPh>
    <rPh sb="2" eb="4">
      <t>リシ</t>
    </rPh>
    <rPh sb="4" eb="6">
      <t>フサイ</t>
    </rPh>
    <rPh sb="6" eb="8">
      <t>ザンダカ</t>
    </rPh>
    <rPh sb="9" eb="11">
      <t>ジョウキョウ</t>
    </rPh>
    <phoneticPr fontId="30"/>
  </si>
  <si>
    <t>有利子負債残高</t>
    <rPh sb="0" eb="5">
      <t>ユウリシフサイ</t>
    </rPh>
    <rPh sb="5" eb="7">
      <t>ザンダカ</t>
    </rPh>
    <phoneticPr fontId="30"/>
  </si>
  <si>
    <t>有利子負債利子率</t>
    <rPh sb="0" eb="8">
      <t>ユウリシフサイリシリツ</t>
    </rPh>
    <phoneticPr fontId="2"/>
  </si>
  <si>
    <t>インタレスト・カバレッジ・レシオ</t>
    <phoneticPr fontId="2"/>
  </si>
  <si>
    <t>ネット有利子負債残高</t>
    <rPh sb="3" eb="8">
      <t>ユウリシフサイ</t>
    </rPh>
    <rPh sb="8" eb="10">
      <t>ザンダカ</t>
    </rPh>
    <phoneticPr fontId="2"/>
  </si>
  <si>
    <t>*1</t>
    <phoneticPr fontId="2"/>
  </si>
  <si>
    <t>【金融収支】2022年3月期以前について、金融収益＝受取利息・配当金、金融費用＝支払利息の数値となります。</t>
    <rPh sb="1" eb="5">
      <t>キンユウシュウシ</t>
    </rPh>
    <rPh sb="10" eb="11">
      <t>ネン</t>
    </rPh>
    <rPh sb="12" eb="14">
      <t>ガツキ</t>
    </rPh>
    <rPh sb="14" eb="16">
      <t>イゼン</t>
    </rPh>
    <rPh sb="21" eb="25">
      <t>キンユウシュウエキ</t>
    </rPh>
    <rPh sb="26" eb="30">
      <t>ウケトリリソク</t>
    </rPh>
    <rPh sb="31" eb="34">
      <t>ハイトウキン</t>
    </rPh>
    <rPh sb="35" eb="39">
      <t>キンユウヒヨウ</t>
    </rPh>
    <rPh sb="40" eb="44">
      <t>シハライリソク</t>
    </rPh>
    <rPh sb="45" eb="47">
      <t>スウチ</t>
    </rPh>
    <phoneticPr fontId="2"/>
  </si>
  <si>
    <t>（単位：百万円）</t>
    <rPh sb="4" eb="5">
      <t>ヒャク</t>
    </rPh>
    <rPh sb="5" eb="6">
      <t>マン</t>
    </rPh>
    <rPh sb="6" eb="7">
      <t>エン</t>
    </rPh>
    <phoneticPr fontId="2"/>
  </si>
  <si>
    <r>
      <t>【</t>
    </r>
    <r>
      <rPr>
        <b/>
        <sz val="9"/>
        <rFont val="Meiryo UI"/>
        <family val="3"/>
        <charset val="128"/>
      </rPr>
      <t>受注高</t>
    </r>
    <r>
      <rPr>
        <sz val="9"/>
        <rFont val="Meiryo UI"/>
        <family val="3"/>
        <charset val="128"/>
      </rPr>
      <t>（前田建設　工種別）】</t>
    </r>
    <rPh sb="1" eb="3">
      <t>ジュチュウ</t>
    </rPh>
    <rPh sb="3" eb="4">
      <t>ダカ</t>
    </rPh>
    <rPh sb="5" eb="9">
      <t>マエダケンセツ</t>
    </rPh>
    <rPh sb="10" eb="13">
      <t>コウシュベツ</t>
    </rPh>
    <phoneticPr fontId="31"/>
  </si>
  <si>
    <t>建築工事</t>
    <rPh sb="2" eb="4">
      <t>コウジ</t>
    </rPh>
    <phoneticPr fontId="30"/>
  </si>
  <si>
    <t>事務所・庁舎</t>
    <rPh sb="0" eb="2">
      <t>ジム</t>
    </rPh>
    <rPh sb="2" eb="3">
      <t>ショ</t>
    </rPh>
    <rPh sb="4" eb="6">
      <t>チョウシャ</t>
    </rPh>
    <phoneticPr fontId="30"/>
  </si>
  <si>
    <t>宿泊施設</t>
    <rPh sb="0" eb="2">
      <t>シュクハク</t>
    </rPh>
    <rPh sb="2" eb="4">
      <t>シセツ</t>
    </rPh>
    <phoneticPr fontId="30"/>
  </si>
  <si>
    <t>商業施設</t>
    <rPh sb="0" eb="4">
      <t>ショウギョウシセツ</t>
    </rPh>
    <phoneticPr fontId="2"/>
  </si>
  <si>
    <t>工場・発電所</t>
  </si>
  <si>
    <t>倉庫・流通施設</t>
  </si>
  <si>
    <t>住宅建築</t>
    <rPh sb="0" eb="4">
      <t>ジュウタクケンチク</t>
    </rPh>
    <phoneticPr fontId="2"/>
  </si>
  <si>
    <t>教育・研究</t>
    <phoneticPr fontId="2"/>
  </si>
  <si>
    <t>医療・福祉施設</t>
  </si>
  <si>
    <t>娯楽施設</t>
    <rPh sb="0" eb="4">
      <t>ゴラクシセツ</t>
    </rPh>
    <phoneticPr fontId="2"/>
  </si>
  <si>
    <t>その他</t>
  </si>
  <si>
    <t>土木工事</t>
    <rPh sb="2" eb="4">
      <t>コウジ</t>
    </rPh>
    <phoneticPr fontId="30"/>
  </si>
  <si>
    <t>治山・治水</t>
  </si>
  <si>
    <t>鉄道</t>
  </si>
  <si>
    <t>上・下水道</t>
    <phoneticPr fontId="2"/>
  </si>
  <si>
    <t>土地造成</t>
  </si>
  <si>
    <t>港湾・空港</t>
  </si>
  <si>
    <t>道路</t>
  </si>
  <si>
    <t>電線路</t>
    <rPh sb="0" eb="3">
      <t>デンセンロ</t>
    </rPh>
    <phoneticPr fontId="2"/>
  </si>
  <si>
    <t>その他</t>
    <phoneticPr fontId="2"/>
  </si>
  <si>
    <r>
      <t>【</t>
    </r>
    <r>
      <rPr>
        <b/>
        <sz val="9"/>
        <rFont val="Meiryo UI"/>
        <family val="3"/>
        <charset val="128"/>
      </rPr>
      <t>受注高</t>
    </r>
    <r>
      <rPr>
        <sz val="9"/>
        <rFont val="Meiryo UI"/>
        <family val="3"/>
        <charset val="128"/>
      </rPr>
      <t>（前田建設　官民別）】</t>
    </r>
    <rPh sb="1" eb="4">
      <t>ジュチュウダカ</t>
    </rPh>
    <rPh sb="5" eb="9">
      <t>マエダケンセツ</t>
    </rPh>
    <rPh sb="10" eb="13">
      <t>カンミンベツ</t>
    </rPh>
    <phoneticPr fontId="31"/>
  </si>
  <si>
    <t>建築工事</t>
    <rPh sb="0" eb="4">
      <t>ケンチクコウジ</t>
    </rPh>
    <phoneticPr fontId="30"/>
  </si>
  <si>
    <t>国内</t>
    <rPh sb="0" eb="2">
      <t>コクナイ</t>
    </rPh>
    <phoneticPr fontId="31"/>
  </si>
  <si>
    <t>官公庁</t>
    <rPh sb="0" eb="3">
      <t>カンコウチョウ</t>
    </rPh>
    <phoneticPr fontId="2"/>
  </si>
  <si>
    <t>民間</t>
    <rPh sb="0" eb="2">
      <t>ミンカン</t>
    </rPh>
    <phoneticPr fontId="2"/>
  </si>
  <si>
    <t>海外</t>
    <rPh sb="0" eb="2">
      <t>カイガイ</t>
    </rPh>
    <phoneticPr fontId="31"/>
  </si>
  <si>
    <t>土木</t>
    <rPh sb="0" eb="2">
      <t>ドボク</t>
    </rPh>
    <phoneticPr fontId="31"/>
  </si>
  <si>
    <r>
      <t>【</t>
    </r>
    <r>
      <rPr>
        <b/>
        <sz val="9"/>
        <rFont val="Meiryo UI"/>
        <family val="3"/>
        <charset val="128"/>
      </rPr>
      <t>受注高</t>
    </r>
    <r>
      <rPr>
        <sz val="9"/>
        <rFont val="Meiryo UI"/>
        <family val="3"/>
        <charset val="128"/>
      </rPr>
      <t>（前田道路　官民別）】</t>
    </r>
    <rPh sb="1" eb="4">
      <t>ジュチュウダカ</t>
    </rPh>
    <rPh sb="5" eb="9">
      <t>マエダドウロ</t>
    </rPh>
    <rPh sb="10" eb="13">
      <t>カンミンベツ</t>
    </rPh>
    <phoneticPr fontId="31"/>
  </si>
  <si>
    <t>建設事業（連結）</t>
    <rPh sb="0" eb="4">
      <t>ケンセツジギョウ</t>
    </rPh>
    <rPh sb="5" eb="7">
      <t>レンケツ</t>
    </rPh>
    <phoneticPr fontId="30"/>
  </si>
  <si>
    <r>
      <t>【</t>
    </r>
    <r>
      <rPr>
        <b/>
        <sz val="9"/>
        <rFont val="Meiryo UI"/>
        <family val="3"/>
        <charset val="128"/>
      </rPr>
      <t>完工高</t>
    </r>
    <r>
      <rPr>
        <sz val="9"/>
        <rFont val="Meiryo UI"/>
        <family val="3"/>
        <charset val="128"/>
      </rPr>
      <t>（前田建設　工種別）】</t>
    </r>
    <rPh sb="1" eb="3">
      <t>カンコウ</t>
    </rPh>
    <rPh sb="3" eb="4">
      <t>ダカ</t>
    </rPh>
    <rPh sb="5" eb="9">
      <t>マエダケンセツ</t>
    </rPh>
    <rPh sb="10" eb="12">
      <t>コウシュ</t>
    </rPh>
    <rPh sb="12" eb="13">
      <t>ベツ</t>
    </rPh>
    <phoneticPr fontId="31"/>
  </si>
  <si>
    <t xml:space="preserve">その他 </t>
    <phoneticPr fontId="2"/>
  </si>
  <si>
    <r>
      <t>【</t>
    </r>
    <r>
      <rPr>
        <b/>
        <sz val="9"/>
        <rFont val="Meiryo UI"/>
        <family val="3"/>
        <charset val="128"/>
      </rPr>
      <t>完工高</t>
    </r>
    <r>
      <rPr>
        <sz val="9"/>
        <rFont val="Meiryo UI"/>
        <family val="3"/>
        <charset val="128"/>
      </rPr>
      <t>（前田建設　官民別）】</t>
    </r>
    <rPh sb="1" eb="3">
      <t>カンコウ</t>
    </rPh>
    <rPh sb="3" eb="4">
      <t>ダカ</t>
    </rPh>
    <rPh sb="5" eb="9">
      <t>マエダケンセツ</t>
    </rPh>
    <rPh sb="10" eb="12">
      <t>カンミン</t>
    </rPh>
    <rPh sb="12" eb="13">
      <t>ベツ</t>
    </rPh>
    <phoneticPr fontId="31"/>
  </si>
  <si>
    <r>
      <t>【</t>
    </r>
    <r>
      <rPr>
        <b/>
        <sz val="9"/>
        <rFont val="Meiryo UI"/>
        <family val="3"/>
        <charset val="128"/>
      </rPr>
      <t>繰越高</t>
    </r>
    <r>
      <rPr>
        <sz val="9"/>
        <rFont val="Meiryo UI"/>
        <family val="3"/>
        <charset val="128"/>
      </rPr>
      <t>（前田建設　工種別）】</t>
    </r>
    <rPh sb="1" eb="4">
      <t>クリコシダカ</t>
    </rPh>
    <rPh sb="5" eb="9">
      <t>マエダケンセツ</t>
    </rPh>
    <rPh sb="10" eb="13">
      <t>コウシュベツ</t>
    </rPh>
    <phoneticPr fontId="31"/>
  </si>
  <si>
    <r>
      <t>【</t>
    </r>
    <r>
      <rPr>
        <b/>
        <sz val="9"/>
        <rFont val="Meiryo UI"/>
        <family val="3"/>
        <charset val="128"/>
      </rPr>
      <t>繰越高</t>
    </r>
    <r>
      <rPr>
        <sz val="9"/>
        <rFont val="Meiryo UI"/>
        <family val="3"/>
        <charset val="128"/>
      </rPr>
      <t>（前田建設　官民別）】</t>
    </r>
    <rPh sb="1" eb="4">
      <t>クリコシダカ</t>
    </rPh>
    <rPh sb="5" eb="9">
      <t>マエダケンセツ</t>
    </rPh>
    <rPh sb="10" eb="13">
      <t>カンミンベツ</t>
    </rPh>
    <phoneticPr fontId="31"/>
  </si>
  <si>
    <t>（単位：百万円）</t>
    <rPh sb="4" eb="5">
      <t>ヒャク</t>
    </rPh>
    <rPh sb="5" eb="6">
      <t>マン</t>
    </rPh>
    <phoneticPr fontId="2"/>
  </si>
  <si>
    <t>売上高</t>
    <rPh sb="0" eb="3">
      <t>ウリアゲダカ</t>
    </rPh>
    <phoneticPr fontId="2"/>
  </si>
  <si>
    <t>建築事業</t>
    <rPh sb="0" eb="4">
      <t>ケンチクジギョウ</t>
    </rPh>
    <phoneticPr fontId="30"/>
  </si>
  <si>
    <t>土木事業</t>
    <rPh sb="0" eb="4">
      <t>ドボクジギョウ</t>
    </rPh>
    <phoneticPr fontId="30"/>
  </si>
  <si>
    <t>舗装事業</t>
    <rPh sb="0" eb="4">
      <t>ホソウジギョウ</t>
    </rPh>
    <phoneticPr fontId="2"/>
  </si>
  <si>
    <t>機械事業</t>
    <rPh sb="0" eb="4">
      <t>キカイジギョウ</t>
    </rPh>
    <phoneticPr fontId="2"/>
  </si>
  <si>
    <t>インフラ運営事業</t>
    <rPh sb="4" eb="8">
      <t>ウンエイジギョウ</t>
    </rPh>
    <phoneticPr fontId="2"/>
  </si>
  <si>
    <t>不動産事業</t>
    <rPh sb="0" eb="3">
      <t>フドウサン</t>
    </rPh>
    <rPh sb="3" eb="5">
      <t>ジギョウ</t>
    </rPh>
    <phoneticPr fontId="2"/>
  </si>
  <si>
    <t>売上総利益</t>
    <rPh sb="0" eb="5">
      <t>ウリアゲソウリエキ</t>
    </rPh>
    <phoneticPr fontId="30"/>
  </si>
  <si>
    <t>売上総利益率</t>
    <rPh sb="0" eb="6">
      <t>ウリアゲソウリエキリツ</t>
    </rPh>
    <phoneticPr fontId="2"/>
  </si>
  <si>
    <t>土木事業</t>
    <rPh sb="0" eb="4">
      <t>ドボクジギョウ</t>
    </rPh>
    <phoneticPr fontId="2"/>
  </si>
  <si>
    <t>インフラ運営事業</t>
    <rPh sb="4" eb="6">
      <t>ウンエイ</t>
    </rPh>
    <rPh sb="6" eb="8">
      <t>ジギョウ</t>
    </rPh>
    <phoneticPr fontId="2"/>
  </si>
  <si>
    <t>損益計算書</t>
    <rPh sb="0" eb="2">
      <t>ソンエキ</t>
    </rPh>
    <rPh sb="2" eb="5">
      <t>ケイサンショ</t>
    </rPh>
    <phoneticPr fontId="2"/>
  </si>
  <si>
    <t>変則4ヶ月</t>
    <rPh sb="0" eb="2">
      <t>ヘンソク</t>
    </rPh>
    <rPh sb="4" eb="5">
      <t>ゲツ</t>
    </rPh>
    <phoneticPr fontId="2"/>
  </si>
  <si>
    <t>（単位：百万円）</t>
    <rPh sb="1" eb="3">
      <t>タンイ</t>
    </rPh>
    <rPh sb="4" eb="7">
      <t>ヒャクマンエン</t>
    </rPh>
    <phoneticPr fontId="2"/>
  </si>
  <si>
    <t>S21/11期</t>
    <rPh sb="6" eb="7">
      <t>キ</t>
    </rPh>
    <phoneticPr fontId="2"/>
  </si>
  <si>
    <t>S22/11期</t>
    <rPh sb="6" eb="7">
      <t>キ</t>
    </rPh>
    <phoneticPr fontId="2"/>
  </si>
  <si>
    <t>S23/11期</t>
    <rPh sb="6" eb="7">
      <t>キ</t>
    </rPh>
    <phoneticPr fontId="2"/>
  </si>
  <si>
    <t>S24/11期</t>
    <rPh sb="6" eb="7">
      <t>キ</t>
    </rPh>
    <phoneticPr fontId="2"/>
  </si>
  <si>
    <t>S25/11期</t>
    <rPh sb="6" eb="7">
      <t>キ</t>
    </rPh>
    <phoneticPr fontId="2"/>
  </si>
  <si>
    <t>S26/11期</t>
    <rPh sb="6" eb="7">
      <t>キ</t>
    </rPh>
    <phoneticPr fontId="2"/>
  </si>
  <si>
    <t>S27/11期</t>
    <rPh sb="6" eb="7">
      <t>キ</t>
    </rPh>
    <phoneticPr fontId="2"/>
  </si>
  <si>
    <t>S28/11期</t>
    <rPh sb="6" eb="7">
      <t>キ</t>
    </rPh>
    <phoneticPr fontId="2"/>
  </si>
  <si>
    <t>S29/11期</t>
    <rPh sb="6" eb="7">
      <t>キ</t>
    </rPh>
    <phoneticPr fontId="2"/>
  </si>
  <si>
    <t>S30/11期</t>
    <rPh sb="6" eb="7">
      <t>キ</t>
    </rPh>
    <phoneticPr fontId="2"/>
  </si>
  <si>
    <t>S31/11期</t>
    <rPh sb="6" eb="7">
      <t>キ</t>
    </rPh>
    <phoneticPr fontId="2"/>
  </si>
  <si>
    <t>S32/11期</t>
    <rPh sb="6" eb="7">
      <t>キ</t>
    </rPh>
    <phoneticPr fontId="2"/>
  </si>
  <si>
    <t>S33/11期</t>
    <rPh sb="6" eb="7">
      <t>キ</t>
    </rPh>
    <phoneticPr fontId="2"/>
  </si>
  <si>
    <t>S34/11期</t>
    <rPh sb="6" eb="7">
      <t>キ</t>
    </rPh>
    <phoneticPr fontId="2"/>
  </si>
  <si>
    <t>S35/11期</t>
    <rPh sb="6" eb="7">
      <t>キ</t>
    </rPh>
    <phoneticPr fontId="2"/>
  </si>
  <si>
    <t>S36/11期</t>
    <rPh sb="6" eb="7">
      <t>キ</t>
    </rPh>
    <phoneticPr fontId="2"/>
  </si>
  <si>
    <t>S37/11期</t>
    <rPh sb="6" eb="7">
      <t>キ</t>
    </rPh>
    <phoneticPr fontId="2"/>
  </si>
  <si>
    <t>S38/11期</t>
    <rPh sb="6" eb="7">
      <t>キ</t>
    </rPh>
    <phoneticPr fontId="2"/>
  </si>
  <si>
    <t>S39/11期</t>
    <rPh sb="6" eb="7">
      <t>キ</t>
    </rPh>
    <phoneticPr fontId="2"/>
  </si>
  <si>
    <t>S40/11期</t>
    <rPh sb="6" eb="7">
      <t>キ</t>
    </rPh>
    <phoneticPr fontId="2"/>
  </si>
  <si>
    <t>S41/11期</t>
    <rPh sb="6" eb="7">
      <t>キ</t>
    </rPh>
    <phoneticPr fontId="2"/>
  </si>
  <si>
    <t>S42/11期</t>
    <rPh sb="6" eb="7">
      <t>キ</t>
    </rPh>
    <phoneticPr fontId="2"/>
  </si>
  <si>
    <t>S43/11期</t>
    <rPh sb="6" eb="7">
      <t>キ</t>
    </rPh>
    <phoneticPr fontId="2"/>
  </si>
  <si>
    <t>S44/11期</t>
    <rPh sb="6" eb="7">
      <t>キ</t>
    </rPh>
    <phoneticPr fontId="2"/>
  </si>
  <si>
    <t>S45/11期</t>
    <rPh sb="6" eb="7">
      <t>キ</t>
    </rPh>
    <phoneticPr fontId="2"/>
  </si>
  <si>
    <t>S46/11期</t>
    <rPh sb="6" eb="7">
      <t>キ</t>
    </rPh>
    <phoneticPr fontId="2"/>
  </si>
  <si>
    <t>S47/11期</t>
    <rPh sb="6" eb="7">
      <t>キ</t>
    </rPh>
    <phoneticPr fontId="2"/>
  </si>
  <si>
    <t>S48/11期</t>
    <rPh sb="6" eb="7">
      <t>キ</t>
    </rPh>
    <phoneticPr fontId="2"/>
  </si>
  <si>
    <t>S49/11期</t>
    <rPh sb="6" eb="7">
      <t>キ</t>
    </rPh>
    <phoneticPr fontId="2"/>
  </si>
  <si>
    <t>S50/11期</t>
    <rPh sb="6" eb="7">
      <t>キ</t>
    </rPh>
    <phoneticPr fontId="2"/>
  </si>
  <si>
    <t>S51/11期</t>
    <rPh sb="6" eb="7">
      <t>キ</t>
    </rPh>
    <phoneticPr fontId="2"/>
  </si>
  <si>
    <t>S52/11期</t>
    <rPh sb="6" eb="7">
      <t>キ</t>
    </rPh>
    <phoneticPr fontId="2"/>
  </si>
  <si>
    <t>S53/11期</t>
    <rPh sb="6" eb="7">
      <t>キ</t>
    </rPh>
    <phoneticPr fontId="2"/>
  </si>
  <si>
    <t>S54/11期</t>
    <rPh sb="6" eb="7">
      <t>キ</t>
    </rPh>
    <phoneticPr fontId="2"/>
  </si>
  <si>
    <t>S55/11期</t>
    <rPh sb="6" eb="7">
      <t>キ</t>
    </rPh>
    <phoneticPr fontId="2"/>
  </si>
  <si>
    <t>S56/11期</t>
    <rPh sb="6" eb="7">
      <t>キ</t>
    </rPh>
    <phoneticPr fontId="2"/>
  </si>
  <si>
    <t>S57/11期</t>
    <rPh sb="6" eb="7">
      <t>キ</t>
    </rPh>
    <phoneticPr fontId="2"/>
  </si>
  <si>
    <t>S58/11期</t>
    <rPh sb="6" eb="7">
      <t>キ</t>
    </rPh>
    <phoneticPr fontId="2"/>
  </si>
  <si>
    <t>S59/11期</t>
    <rPh sb="6" eb="7">
      <t>キ</t>
    </rPh>
    <phoneticPr fontId="2"/>
  </si>
  <si>
    <t>S60/11期</t>
    <rPh sb="6" eb="7">
      <t>キ</t>
    </rPh>
    <phoneticPr fontId="2"/>
  </si>
  <si>
    <t>S61/11期</t>
    <rPh sb="6" eb="7">
      <t>キ</t>
    </rPh>
    <phoneticPr fontId="2"/>
  </si>
  <si>
    <t>S62/11期</t>
    <rPh sb="6" eb="7">
      <t>キ</t>
    </rPh>
    <phoneticPr fontId="2"/>
  </si>
  <si>
    <t>S63/3期</t>
    <rPh sb="5" eb="6">
      <t>キ</t>
    </rPh>
    <phoneticPr fontId="2"/>
  </si>
  <si>
    <t>H1/3期</t>
    <rPh sb="4" eb="5">
      <t>キ</t>
    </rPh>
    <phoneticPr fontId="2"/>
  </si>
  <si>
    <t>H2/3期</t>
    <rPh sb="4" eb="5">
      <t>キ</t>
    </rPh>
    <phoneticPr fontId="2"/>
  </si>
  <si>
    <t>H3/3期</t>
    <rPh sb="4" eb="5">
      <t>キ</t>
    </rPh>
    <phoneticPr fontId="2"/>
  </si>
  <si>
    <t>H4/3期</t>
    <rPh sb="4" eb="5">
      <t>キ</t>
    </rPh>
    <phoneticPr fontId="2"/>
  </si>
  <si>
    <t>H5/3期</t>
    <rPh sb="4" eb="5">
      <t>キ</t>
    </rPh>
    <phoneticPr fontId="2"/>
  </si>
  <si>
    <t>H6/3期</t>
    <rPh sb="4" eb="5">
      <t>キ</t>
    </rPh>
    <phoneticPr fontId="2"/>
  </si>
  <si>
    <t>H7/3期</t>
    <rPh sb="4" eb="5">
      <t>キ</t>
    </rPh>
    <phoneticPr fontId="2"/>
  </si>
  <si>
    <t>H8/3期</t>
    <rPh sb="4" eb="5">
      <t>キ</t>
    </rPh>
    <phoneticPr fontId="2"/>
  </si>
  <si>
    <t>H9/3期</t>
    <rPh sb="4" eb="5">
      <t>キ</t>
    </rPh>
    <phoneticPr fontId="2"/>
  </si>
  <si>
    <t>H10/3期</t>
    <rPh sb="5" eb="6">
      <t>キ</t>
    </rPh>
    <phoneticPr fontId="2"/>
  </si>
  <si>
    <t>H11/3期</t>
    <rPh sb="5" eb="6">
      <t>キ</t>
    </rPh>
    <phoneticPr fontId="2"/>
  </si>
  <si>
    <t>Ｈ12/3月末</t>
    <rPh sb="5" eb="6">
      <t>ツキ</t>
    </rPh>
    <rPh sb="6" eb="7">
      <t>マツ</t>
    </rPh>
    <phoneticPr fontId="2"/>
  </si>
  <si>
    <t>Ｈ13/3月末</t>
    <rPh sb="5" eb="6">
      <t>ツキ</t>
    </rPh>
    <rPh sb="6" eb="7">
      <t>マツ</t>
    </rPh>
    <phoneticPr fontId="2"/>
  </si>
  <si>
    <t>Ｈ14/3月末</t>
    <rPh sb="5" eb="6">
      <t>ツキ</t>
    </rPh>
    <rPh sb="6" eb="7">
      <t>マツ</t>
    </rPh>
    <phoneticPr fontId="2"/>
  </si>
  <si>
    <t>Ｈ15/3月末</t>
    <rPh sb="5" eb="6">
      <t>ツキ</t>
    </rPh>
    <rPh sb="6" eb="7">
      <t>マツ</t>
    </rPh>
    <phoneticPr fontId="2"/>
  </si>
  <si>
    <t>Ｈ16/3月末</t>
    <rPh sb="5" eb="6">
      <t>ツキ</t>
    </rPh>
    <rPh sb="6" eb="7">
      <t>マツ</t>
    </rPh>
    <phoneticPr fontId="2"/>
  </si>
  <si>
    <t>Ｈ17/3月末</t>
    <rPh sb="5" eb="6">
      <t>ツキ</t>
    </rPh>
    <rPh sb="6" eb="7">
      <t>マツ</t>
    </rPh>
    <phoneticPr fontId="2"/>
  </si>
  <si>
    <t>Ｈ18/3月末</t>
    <rPh sb="5" eb="6">
      <t>ツキ</t>
    </rPh>
    <rPh sb="6" eb="7">
      <t>マツ</t>
    </rPh>
    <phoneticPr fontId="2"/>
  </si>
  <si>
    <t>Ｈ19/3月末</t>
    <rPh sb="5" eb="6">
      <t>ツキ</t>
    </rPh>
    <rPh sb="6" eb="7">
      <t>マツ</t>
    </rPh>
    <phoneticPr fontId="2"/>
  </si>
  <si>
    <t>Ｈ20/3月末</t>
    <rPh sb="5" eb="6">
      <t>ツキ</t>
    </rPh>
    <rPh sb="6" eb="7">
      <t>マツ</t>
    </rPh>
    <phoneticPr fontId="2"/>
  </si>
  <si>
    <t>Ｈ21/3月末</t>
    <rPh sb="5" eb="6">
      <t>ツキ</t>
    </rPh>
    <rPh sb="6" eb="7">
      <t>マツ</t>
    </rPh>
    <phoneticPr fontId="2"/>
  </si>
  <si>
    <t>Ｈ22/3月末</t>
    <rPh sb="5" eb="6">
      <t>ツキ</t>
    </rPh>
    <rPh sb="6" eb="7">
      <t>マツ</t>
    </rPh>
    <phoneticPr fontId="2"/>
  </si>
  <si>
    <t>Ｈ23/3月末</t>
    <rPh sb="5" eb="6">
      <t>ツキ</t>
    </rPh>
    <rPh sb="6" eb="7">
      <t>マツ</t>
    </rPh>
    <phoneticPr fontId="2"/>
  </si>
  <si>
    <t>Ｈ24/3月末</t>
    <rPh sb="5" eb="6">
      <t>ツキ</t>
    </rPh>
    <rPh sb="6" eb="7">
      <t>マツ</t>
    </rPh>
    <phoneticPr fontId="2"/>
  </si>
  <si>
    <t>Ｈ25/3月末</t>
    <rPh sb="5" eb="6">
      <t>ツキ</t>
    </rPh>
    <rPh sb="6" eb="7">
      <t>マツ</t>
    </rPh>
    <phoneticPr fontId="2"/>
  </si>
  <si>
    <t>Ｈ26/3月末</t>
    <rPh sb="5" eb="6">
      <t>ツキ</t>
    </rPh>
    <rPh sb="6" eb="7">
      <t>マツ</t>
    </rPh>
    <phoneticPr fontId="2"/>
  </si>
  <si>
    <t>Ｈ27/3月末</t>
    <rPh sb="5" eb="6">
      <t>ツキ</t>
    </rPh>
    <rPh sb="6" eb="7">
      <t>マツ</t>
    </rPh>
    <phoneticPr fontId="2"/>
  </si>
  <si>
    <t>Ｈ28/3月末</t>
    <rPh sb="5" eb="6">
      <t>ツキ</t>
    </rPh>
    <rPh sb="6" eb="7">
      <t>マツ</t>
    </rPh>
    <phoneticPr fontId="2"/>
  </si>
  <si>
    <t>Ｈ29/3月末</t>
    <rPh sb="5" eb="6">
      <t>ツキ</t>
    </rPh>
    <rPh sb="6" eb="7">
      <t>マツ</t>
    </rPh>
    <phoneticPr fontId="2"/>
  </si>
  <si>
    <t>Ｈ30/3月末</t>
    <rPh sb="5" eb="6">
      <t>ツキ</t>
    </rPh>
    <rPh sb="6" eb="7">
      <t>マツ</t>
    </rPh>
    <phoneticPr fontId="2"/>
  </si>
  <si>
    <t>Ｈ31/3月末</t>
    <rPh sb="5" eb="6">
      <t>ツキ</t>
    </rPh>
    <rPh sb="6" eb="7">
      <t>マツ</t>
    </rPh>
    <phoneticPr fontId="2"/>
  </si>
  <si>
    <t>R2/3月末</t>
    <rPh sb="4" eb="5">
      <t>ツキ</t>
    </rPh>
    <rPh sb="5" eb="6">
      <t>マツ</t>
    </rPh>
    <phoneticPr fontId="2"/>
  </si>
  <si>
    <t>R3/3月末</t>
    <rPh sb="4" eb="5">
      <t>ツキ</t>
    </rPh>
    <rPh sb="5" eb="6">
      <t>マツ</t>
    </rPh>
    <phoneticPr fontId="2"/>
  </si>
  <si>
    <t>R4/3月末</t>
    <rPh sb="4" eb="5">
      <t>ツキ</t>
    </rPh>
    <rPh sb="5" eb="6">
      <t>マツ</t>
    </rPh>
    <phoneticPr fontId="2"/>
  </si>
  <si>
    <t>（46/11期）</t>
    <rPh sb="6" eb="7">
      <t>キ</t>
    </rPh>
    <phoneticPr fontId="2"/>
  </si>
  <si>
    <t>（47/11期）</t>
    <rPh sb="6" eb="7">
      <t>キ</t>
    </rPh>
    <phoneticPr fontId="2"/>
  </si>
  <si>
    <t>（48/11期）</t>
    <rPh sb="6" eb="7">
      <t>キ</t>
    </rPh>
    <phoneticPr fontId="2"/>
  </si>
  <si>
    <t>（49/11期）</t>
    <rPh sb="6" eb="7">
      <t>キ</t>
    </rPh>
    <phoneticPr fontId="2"/>
  </si>
  <si>
    <t>（50/11期）</t>
    <rPh sb="6" eb="7">
      <t>キ</t>
    </rPh>
    <phoneticPr fontId="2"/>
  </si>
  <si>
    <t>（51/11期）</t>
    <rPh sb="6" eb="7">
      <t>キ</t>
    </rPh>
    <phoneticPr fontId="2"/>
  </si>
  <si>
    <t>（52/11期）</t>
    <rPh sb="6" eb="7">
      <t>キ</t>
    </rPh>
    <phoneticPr fontId="2"/>
  </si>
  <si>
    <t>（53/11期）</t>
    <rPh sb="6" eb="7">
      <t>キ</t>
    </rPh>
    <phoneticPr fontId="2"/>
  </si>
  <si>
    <t>（54/11期）</t>
    <rPh sb="6" eb="7">
      <t>キ</t>
    </rPh>
    <phoneticPr fontId="2"/>
  </si>
  <si>
    <t>（55/11期）</t>
    <rPh sb="6" eb="7">
      <t>キ</t>
    </rPh>
    <phoneticPr fontId="2"/>
  </si>
  <si>
    <t>（56/11期）</t>
    <rPh sb="6" eb="7">
      <t>キ</t>
    </rPh>
    <phoneticPr fontId="2"/>
  </si>
  <si>
    <t>（57/11期）</t>
    <rPh sb="6" eb="7">
      <t>キ</t>
    </rPh>
    <phoneticPr fontId="2"/>
  </si>
  <si>
    <t>（58/11期）</t>
    <rPh sb="6" eb="7">
      <t>キ</t>
    </rPh>
    <phoneticPr fontId="2"/>
  </si>
  <si>
    <t>（59/11期）</t>
    <rPh sb="6" eb="7">
      <t>キ</t>
    </rPh>
    <phoneticPr fontId="2"/>
  </si>
  <si>
    <t>（60/11期）</t>
    <rPh sb="6" eb="7">
      <t>キ</t>
    </rPh>
    <phoneticPr fontId="2"/>
  </si>
  <si>
    <t>（61/11期）</t>
    <rPh sb="6" eb="7">
      <t>キ</t>
    </rPh>
    <phoneticPr fontId="2"/>
  </si>
  <si>
    <t>（62/11期）</t>
    <rPh sb="6" eb="7">
      <t>キ</t>
    </rPh>
    <phoneticPr fontId="2"/>
  </si>
  <si>
    <t>（63/11期）</t>
    <rPh sb="6" eb="7">
      <t>キ</t>
    </rPh>
    <phoneticPr fontId="2"/>
  </si>
  <si>
    <t>（64/11期）</t>
    <rPh sb="6" eb="7">
      <t>キ</t>
    </rPh>
    <phoneticPr fontId="2"/>
  </si>
  <si>
    <t>（65/11期）</t>
    <rPh sb="6" eb="7">
      <t>キ</t>
    </rPh>
    <phoneticPr fontId="2"/>
  </si>
  <si>
    <t>（66/11期）</t>
    <rPh sb="6" eb="7">
      <t>キ</t>
    </rPh>
    <phoneticPr fontId="2"/>
  </si>
  <si>
    <t>（67/11期）</t>
    <rPh sb="6" eb="7">
      <t>キ</t>
    </rPh>
    <phoneticPr fontId="2"/>
  </si>
  <si>
    <t>（68/11期）</t>
    <rPh sb="6" eb="7">
      <t>キ</t>
    </rPh>
    <phoneticPr fontId="2"/>
  </si>
  <si>
    <t>（69/11期）</t>
    <rPh sb="6" eb="7">
      <t>キ</t>
    </rPh>
    <phoneticPr fontId="2"/>
  </si>
  <si>
    <t>（70/11期）</t>
    <rPh sb="6" eb="7">
      <t>キ</t>
    </rPh>
    <phoneticPr fontId="2"/>
  </si>
  <si>
    <t>（71/11期）</t>
    <rPh sb="6" eb="7">
      <t>キ</t>
    </rPh>
    <phoneticPr fontId="2"/>
  </si>
  <si>
    <t>（72/11期）</t>
    <rPh sb="6" eb="7">
      <t>キ</t>
    </rPh>
    <phoneticPr fontId="2"/>
  </si>
  <si>
    <t>（73/11期）</t>
    <rPh sb="6" eb="7">
      <t>キ</t>
    </rPh>
    <phoneticPr fontId="2"/>
  </si>
  <si>
    <t>（74/11期）</t>
    <rPh sb="6" eb="7">
      <t>キ</t>
    </rPh>
    <phoneticPr fontId="2"/>
  </si>
  <si>
    <t>（75/11期）</t>
    <rPh sb="6" eb="7">
      <t>キ</t>
    </rPh>
    <phoneticPr fontId="2"/>
  </si>
  <si>
    <t>（76/11期）</t>
    <rPh sb="6" eb="7">
      <t>キ</t>
    </rPh>
    <phoneticPr fontId="2"/>
  </si>
  <si>
    <t>（77/11期）</t>
    <rPh sb="6" eb="7">
      <t>キ</t>
    </rPh>
    <phoneticPr fontId="2"/>
  </si>
  <si>
    <t>（78/11期）</t>
    <rPh sb="6" eb="7">
      <t>キ</t>
    </rPh>
    <phoneticPr fontId="2"/>
  </si>
  <si>
    <t>（79/11期）</t>
    <rPh sb="6" eb="7">
      <t>キ</t>
    </rPh>
    <phoneticPr fontId="2"/>
  </si>
  <si>
    <t>（80/11期）</t>
    <rPh sb="6" eb="7">
      <t>キ</t>
    </rPh>
    <phoneticPr fontId="2"/>
  </si>
  <si>
    <t>（81/11期）</t>
    <rPh sb="6" eb="7">
      <t>キ</t>
    </rPh>
    <phoneticPr fontId="2"/>
  </si>
  <si>
    <t>（82/11期）</t>
    <rPh sb="6" eb="7">
      <t>キ</t>
    </rPh>
    <phoneticPr fontId="2"/>
  </si>
  <si>
    <t>（83/11期）</t>
    <rPh sb="6" eb="7">
      <t>キ</t>
    </rPh>
    <phoneticPr fontId="2"/>
  </si>
  <si>
    <t>（84/11期）</t>
    <rPh sb="6" eb="7">
      <t>キ</t>
    </rPh>
    <phoneticPr fontId="2"/>
  </si>
  <si>
    <t>（85/11期）</t>
    <rPh sb="6" eb="7">
      <t>キ</t>
    </rPh>
    <phoneticPr fontId="2"/>
  </si>
  <si>
    <t>（86/11期）</t>
    <rPh sb="6" eb="7">
      <t>キ</t>
    </rPh>
    <phoneticPr fontId="2"/>
  </si>
  <si>
    <t>（87/11期）</t>
    <rPh sb="6" eb="7">
      <t>キ</t>
    </rPh>
    <phoneticPr fontId="2"/>
  </si>
  <si>
    <t>（88/3期）</t>
    <rPh sb="5" eb="6">
      <t>キ</t>
    </rPh>
    <phoneticPr fontId="2"/>
  </si>
  <si>
    <t>（89/3期）</t>
    <rPh sb="5" eb="6">
      <t>キ</t>
    </rPh>
    <phoneticPr fontId="2"/>
  </si>
  <si>
    <t>（90/3期）</t>
    <rPh sb="5" eb="6">
      <t>キ</t>
    </rPh>
    <phoneticPr fontId="2"/>
  </si>
  <si>
    <t>（91/3期）</t>
    <rPh sb="5" eb="6">
      <t>キ</t>
    </rPh>
    <phoneticPr fontId="2"/>
  </si>
  <si>
    <t>（92/3期）</t>
    <rPh sb="5" eb="6">
      <t>キ</t>
    </rPh>
    <phoneticPr fontId="2"/>
  </si>
  <si>
    <t>（93/3期）</t>
    <rPh sb="5" eb="6">
      <t>キ</t>
    </rPh>
    <phoneticPr fontId="2"/>
  </si>
  <si>
    <t>（94/3期）</t>
    <rPh sb="5" eb="6">
      <t>キ</t>
    </rPh>
    <phoneticPr fontId="2"/>
  </si>
  <si>
    <t>（95/3期）</t>
    <rPh sb="5" eb="6">
      <t>キ</t>
    </rPh>
    <phoneticPr fontId="2"/>
  </si>
  <si>
    <t>（96/3期）</t>
    <rPh sb="5" eb="6">
      <t>キ</t>
    </rPh>
    <phoneticPr fontId="2"/>
  </si>
  <si>
    <t>（97/3期）</t>
    <rPh sb="5" eb="6">
      <t>キ</t>
    </rPh>
    <phoneticPr fontId="2"/>
  </si>
  <si>
    <t>（98/3期）</t>
    <rPh sb="5" eb="6">
      <t>キ</t>
    </rPh>
    <phoneticPr fontId="2"/>
  </si>
  <si>
    <t>（99/3期）</t>
    <rPh sb="5" eb="6">
      <t>キ</t>
    </rPh>
    <phoneticPr fontId="2"/>
  </si>
  <si>
    <t>（2000/3月末）</t>
    <rPh sb="7" eb="8">
      <t>ツキ</t>
    </rPh>
    <rPh sb="8" eb="9">
      <t>マツ</t>
    </rPh>
    <phoneticPr fontId="2"/>
  </si>
  <si>
    <t>（2001/3月末）</t>
    <rPh sb="7" eb="8">
      <t>ツキ</t>
    </rPh>
    <rPh sb="8" eb="9">
      <t>マツ</t>
    </rPh>
    <phoneticPr fontId="2"/>
  </si>
  <si>
    <t>（2002/3月末）</t>
    <rPh sb="7" eb="8">
      <t>ツキ</t>
    </rPh>
    <rPh sb="8" eb="9">
      <t>マツ</t>
    </rPh>
    <phoneticPr fontId="2"/>
  </si>
  <si>
    <t>（2003/3月末）</t>
    <rPh sb="7" eb="8">
      <t>ツキ</t>
    </rPh>
    <rPh sb="8" eb="9">
      <t>マツ</t>
    </rPh>
    <phoneticPr fontId="2"/>
  </si>
  <si>
    <t>（2004/3月末）</t>
    <rPh sb="7" eb="8">
      <t>ツキ</t>
    </rPh>
    <rPh sb="8" eb="9">
      <t>マツ</t>
    </rPh>
    <phoneticPr fontId="2"/>
  </si>
  <si>
    <t>（2005/3月末）</t>
    <rPh sb="7" eb="8">
      <t>ツキ</t>
    </rPh>
    <rPh sb="8" eb="9">
      <t>マツ</t>
    </rPh>
    <phoneticPr fontId="2"/>
  </si>
  <si>
    <t>（2006/3月末）</t>
    <rPh sb="7" eb="8">
      <t>ツキ</t>
    </rPh>
    <rPh sb="8" eb="9">
      <t>マツ</t>
    </rPh>
    <phoneticPr fontId="2"/>
  </si>
  <si>
    <t>（2007/3月末）</t>
    <rPh sb="7" eb="8">
      <t>ツキ</t>
    </rPh>
    <rPh sb="8" eb="9">
      <t>マツ</t>
    </rPh>
    <phoneticPr fontId="2"/>
  </si>
  <si>
    <t>（2008/3月末）</t>
    <rPh sb="7" eb="8">
      <t>ツキ</t>
    </rPh>
    <rPh sb="8" eb="9">
      <t>マツ</t>
    </rPh>
    <phoneticPr fontId="2"/>
  </si>
  <si>
    <t>（2009/3月末）</t>
    <rPh sb="7" eb="8">
      <t>ツキ</t>
    </rPh>
    <rPh sb="8" eb="9">
      <t>マツ</t>
    </rPh>
    <phoneticPr fontId="2"/>
  </si>
  <si>
    <t>（2010/3月末）</t>
    <rPh sb="7" eb="8">
      <t>ツキ</t>
    </rPh>
    <rPh sb="8" eb="9">
      <t>マツ</t>
    </rPh>
    <phoneticPr fontId="2"/>
  </si>
  <si>
    <t>（2011/3月末）</t>
    <rPh sb="7" eb="8">
      <t>ツキ</t>
    </rPh>
    <rPh sb="8" eb="9">
      <t>マツ</t>
    </rPh>
    <phoneticPr fontId="2"/>
  </si>
  <si>
    <t>（2012/3月末）</t>
    <rPh sb="7" eb="8">
      <t>ツキ</t>
    </rPh>
    <rPh sb="8" eb="9">
      <t>マツ</t>
    </rPh>
    <phoneticPr fontId="2"/>
  </si>
  <si>
    <t>（2013/3月末）</t>
    <rPh sb="7" eb="8">
      <t>ツキ</t>
    </rPh>
    <rPh sb="8" eb="9">
      <t>マツ</t>
    </rPh>
    <phoneticPr fontId="2"/>
  </si>
  <si>
    <t>（2014/3月末）</t>
    <rPh sb="7" eb="8">
      <t>ツキ</t>
    </rPh>
    <rPh sb="8" eb="9">
      <t>マツ</t>
    </rPh>
    <phoneticPr fontId="2"/>
  </si>
  <si>
    <t>（2015/3月末）</t>
    <rPh sb="7" eb="8">
      <t>ツキ</t>
    </rPh>
    <rPh sb="8" eb="9">
      <t>マツ</t>
    </rPh>
    <phoneticPr fontId="2"/>
  </si>
  <si>
    <t>（2016/3月末）</t>
    <rPh sb="7" eb="8">
      <t>ツキ</t>
    </rPh>
    <rPh sb="8" eb="9">
      <t>マツ</t>
    </rPh>
    <phoneticPr fontId="2"/>
  </si>
  <si>
    <t>（2017/3月末）</t>
    <rPh sb="7" eb="8">
      <t>ツキ</t>
    </rPh>
    <rPh sb="8" eb="9">
      <t>マツ</t>
    </rPh>
    <phoneticPr fontId="2"/>
  </si>
  <si>
    <t>（2018/3月末）</t>
    <rPh sb="7" eb="8">
      <t>ツキ</t>
    </rPh>
    <rPh sb="8" eb="9">
      <t>マツ</t>
    </rPh>
    <phoneticPr fontId="2"/>
  </si>
  <si>
    <t>（2019/3月末）</t>
    <rPh sb="7" eb="8">
      <t>ツキ</t>
    </rPh>
    <rPh sb="8" eb="9">
      <t>マツ</t>
    </rPh>
    <phoneticPr fontId="2"/>
  </si>
  <si>
    <t>（2020/3月末）</t>
    <rPh sb="7" eb="8">
      <t>ツキ</t>
    </rPh>
    <rPh sb="8" eb="9">
      <t>マツ</t>
    </rPh>
    <phoneticPr fontId="2"/>
  </si>
  <si>
    <t>（2021/3月末）</t>
    <rPh sb="7" eb="8">
      <t>ツキ</t>
    </rPh>
    <rPh sb="8" eb="9">
      <t>マツ</t>
    </rPh>
    <phoneticPr fontId="2"/>
  </si>
  <si>
    <t>（2022/3月末）</t>
    <rPh sb="7" eb="8">
      <t>ツキ</t>
    </rPh>
    <rPh sb="8" eb="9">
      <t>マツ</t>
    </rPh>
    <phoneticPr fontId="2"/>
  </si>
  <si>
    <t>１期</t>
    <rPh sb="1" eb="2">
      <t>キ</t>
    </rPh>
    <phoneticPr fontId="2"/>
  </si>
  <si>
    <t>２期</t>
    <rPh sb="1" eb="2">
      <t>キ</t>
    </rPh>
    <phoneticPr fontId="2"/>
  </si>
  <si>
    <t>３期</t>
    <rPh sb="1" eb="2">
      <t>キ</t>
    </rPh>
    <phoneticPr fontId="2"/>
  </si>
  <si>
    <t>４期</t>
    <rPh sb="1" eb="2">
      <t>キ</t>
    </rPh>
    <phoneticPr fontId="2"/>
  </si>
  <si>
    <t>５期</t>
    <rPh sb="1" eb="2">
      <t>キ</t>
    </rPh>
    <phoneticPr fontId="2"/>
  </si>
  <si>
    <t>６期</t>
    <rPh sb="1" eb="2">
      <t>キ</t>
    </rPh>
    <phoneticPr fontId="2"/>
  </si>
  <si>
    <t>７期</t>
    <rPh sb="1" eb="2">
      <t>キ</t>
    </rPh>
    <phoneticPr fontId="2"/>
  </si>
  <si>
    <t>８期</t>
    <rPh sb="1" eb="2">
      <t>キ</t>
    </rPh>
    <phoneticPr fontId="2"/>
  </si>
  <si>
    <t>９期</t>
    <rPh sb="1" eb="2">
      <t>キ</t>
    </rPh>
    <phoneticPr fontId="2"/>
  </si>
  <si>
    <t>１０期</t>
    <rPh sb="2" eb="3">
      <t>キ</t>
    </rPh>
    <phoneticPr fontId="2"/>
  </si>
  <si>
    <t>１１期</t>
    <rPh sb="2" eb="3">
      <t>キ</t>
    </rPh>
    <phoneticPr fontId="2"/>
  </si>
  <si>
    <t>１２期</t>
    <rPh sb="2" eb="3">
      <t>キ</t>
    </rPh>
    <phoneticPr fontId="2"/>
  </si>
  <si>
    <t>１３期</t>
    <rPh sb="2" eb="3">
      <t>キ</t>
    </rPh>
    <phoneticPr fontId="2"/>
  </si>
  <si>
    <t>１４期</t>
    <rPh sb="2" eb="3">
      <t>キ</t>
    </rPh>
    <phoneticPr fontId="2"/>
  </si>
  <si>
    <t>１５期</t>
    <rPh sb="2" eb="3">
      <t>キ</t>
    </rPh>
    <phoneticPr fontId="2"/>
  </si>
  <si>
    <t>１６期</t>
    <rPh sb="2" eb="3">
      <t>キ</t>
    </rPh>
    <phoneticPr fontId="2"/>
  </si>
  <si>
    <t>１７期</t>
    <rPh sb="2" eb="3">
      <t>キ</t>
    </rPh>
    <phoneticPr fontId="2"/>
  </si>
  <si>
    <t>１８期</t>
    <rPh sb="2" eb="3">
      <t>キ</t>
    </rPh>
    <phoneticPr fontId="2"/>
  </si>
  <si>
    <t>１９期</t>
    <rPh sb="2" eb="3">
      <t>キ</t>
    </rPh>
    <phoneticPr fontId="2"/>
  </si>
  <si>
    <t>２０期</t>
    <rPh sb="2" eb="3">
      <t>キ</t>
    </rPh>
    <phoneticPr fontId="2"/>
  </si>
  <si>
    <t>２１期</t>
    <rPh sb="2" eb="3">
      <t>キ</t>
    </rPh>
    <phoneticPr fontId="2"/>
  </si>
  <si>
    <t>２２期</t>
    <rPh sb="2" eb="3">
      <t>キ</t>
    </rPh>
    <phoneticPr fontId="2"/>
  </si>
  <si>
    <t>２３期</t>
    <rPh sb="2" eb="3">
      <t>キ</t>
    </rPh>
    <phoneticPr fontId="2"/>
  </si>
  <si>
    <t>２４期</t>
    <rPh sb="2" eb="3">
      <t>キ</t>
    </rPh>
    <phoneticPr fontId="2"/>
  </si>
  <si>
    <t>２５期</t>
    <rPh sb="2" eb="3">
      <t>キ</t>
    </rPh>
    <phoneticPr fontId="2"/>
  </si>
  <si>
    <t>２６期</t>
    <rPh sb="2" eb="3">
      <t>キ</t>
    </rPh>
    <phoneticPr fontId="2"/>
  </si>
  <si>
    <t>２７期</t>
    <rPh sb="2" eb="3">
      <t>キ</t>
    </rPh>
    <phoneticPr fontId="2"/>
  </si>
  <si>
    <t>２８期</t>
    <rPh sb="2" eb="3">
      <t>キ</t>
    </rPh>
    <phoneticPr fontId="2"/>
  </si>
  <si>
    <t>２９期</t>
    <rPh sb="2" eb="3">
      <t>キ</t>
    </rPh>
    <phoneticPr fontId="2"/>
  </si>
  <si>
    <t>３０期</t>
    <rPh sb="2" eb="3">
      <t>キ</t>
    </rPh>
    <phoneticPr fontId="2"/>
  </si>
  <si>
    <t>３１期</t>
    <rPh sb="2" eb="3">
      <t>キ</t>
    </rPh>
    <phoneticPr fontId="2"/>
  </si>
  <si>
    <t>３２期</t>
    <rPh sb="2" eb="3">
      <t>キ</t>
    </rPh>
    <phoneticPr fontId="2"/>
  </si>
  <si>
    <t>３３期</t>
    <rPh sb="2" eb="3">
      <t>キ</t>
    </rPh>
    <phoneticPr fontId="2"/>
  </si>
  <si>
    <t>３４期</t>
    <rPh sb="2" eb="3">
      <t>キ</t>
    </rPh>
    <phoneticPr fontId="2"/>
  </si>
  <si>
    <t>３５期</t>
    <rPh sb="2" eb="3">
      <t>キ</t>
    </rPh>
    <phoneticPr fontId="2"/>
  </si>
  <si>
    <t>３６期</t>
    <rPh sb="2" eb="3">
      <t>キ</t>
    </rPh>
    <phoneticPr fontId="2"/>
  </si>
  <si>
    <t>３７期</t>
    <rPh sb="2" eb="3">
      <t>キ</t>
    </rPh>
    <phoneticPr fontId="2"/>
  </si>
  <si>
    <t>３８期</t>
    <rPh sb="2" eb="3">
      <t>キ</t>
    </rPh>
    <phoneticPr fontId="2"/>
  </si>
  <si>
    <t>３９期</t>
    <rPh sb="2" eb="3">
      <t>キ</t>
    </rPh>
    <phoneticPr fontId="2"/>
  </si>
  <si>
    <t>４０期</t>
    <rPh sb="2" eb="3">
      <t>キ</t>
    </rPh>
    <phoneticPr fontId="2"/>
  </si>
  <si>
    <t>４１期</t>
    <rPh sb="2" eb="3">
      <t>キ</t>
    </rPh>
    <phoneticPr fontId="2"/>
  </si>
  <si>
    <t>４２期</t>
    <rPh sb="2" eb="3">
      <t>キ</t>
    </rPh>
    <phoneticPr fontId="2"/>
  </si>
  <si>
    <t>４３期</t>
    <rPh sb="2" eb="3">
      <t>キ</t>
    </rPh>
    <phoneticPr fontId="2"/>
  </si>
  <si>
    <t>４４期</t>
    <rPh sb="2" eb="3">
      <t>キ</t>
    </rPh>
    <phoneticPr fontId="2"/>
  </si>
  <si>
    <t>４５期</t>
    <rPh sb="2" eb="3">
      <t>キ</t>
    </rPh>
    <phoneticPr fontId="2"/>
  </si>
  <si>
    <t>４６期</t>
    <rPh sb="2" eb="3">
      <t>キ</t>
    </rPh>
    <phoneticPr fontId="2"/>
  </si>
  <si>
    <t>４７期</t>
    <rPh sb="2" eb="3">
      <t>キ</t>
    </rPh>
    <phoneticPr fontId="2"/>
  </si>
  <si>
    <t>４８期</t>
    <rPh sb="2" eb="3">
      <t>キ</t>
    </rPh>
    <phoneticPr fontId="2"/>
  </si>
  <si>
    <t>４９期</t>
    <rPh sb="2" eb="3">
      <t>キ</t>
    </rPh>
    <phoneticPr fontId="2"/>
  </si>
  <si>
    <t>５０期</t>
    <rPh sb="2" eb="3">
      <t>キ</t>
    </rPh>
    <phoneticPr fontId="2"/>
  </si>
  <si>
    <t>５１期</t>
    <rPh sb="2" eb="3">
      <t>キ</t>
    </rPh>
    <phoneticPr fontId="2"/>
  </si>
  <si>
    <t>５２期</t>
    <rPh sb="2" eb="3">
      <t>キ</t>
    </rPh>
    <phoneticPr fontId="2"/>
  </si>
  <si>
    <t>５３期</t>
    <rPh sb="2" eb="3">
      <t>キ</t>
    </rPh>
    <phoneticPr fontId="2"/>
  </si>
  <si>
    <t>５４期</t>
    <rPh sb="2" eb="3">
      <t>キ</t>
    </rPh>
    <phoneticPr fontId="2"/>
  </si>
  <si>
    <t>５５期</t>
    <rPh sb="2" eb="3">
      <t>キ</t>
    </rPh>
    <phoneticPr fontId="2"/>
  </si>
  <si>
    <t>５６期</t>
    <rPh sb="2" eb="3">
      <t>キ</t>
    </rPh>
    <phoneticPr fontId="2"/>
  </si>
  <si>
    <t>５７期</t>
    <rPh sb="2" eb="3">
      <t>キ</t>
    </rPh>
    <phoneticPr fontId="2"/>
  </si>
  <si>
    <t>５８期</t>
    <rPh sb="2" eb="3">
      <t>キ</t>
    </rPh>
    <phoneticPr fontId="2"/>
  </si>
  <si>
    <t>５９期</t>
    <rPh sb="2" eb="3">
      <t>キ</t>
    </rPh>
    <phoneticPr fontId="2"/>
  </si>
  <si>
    <t>６０期</t>
    <rPh sb="2" eb="3">
      <t>キ</t>
    </rPh>
    <phoneticPr fontId="2"/>
  </si>
  <si>
    <t>６１期</t>
    <rPh sb="2" eb="3">
      <t>キ</t>
    </rPh>
    <phoneticPr fontId="2"/>
  </si>
  <si>
    <t>６２期</t>
    <rPh sb="2" eb="3">
      <t>キ</t>
    </rPh>
    <phoneticPr fontId="2"/>
  </si>
  <si>
    <t>６３期</t>
    <rPh sb="2" eb="3">
      <t>キ</t>
    </rPh>
    <phoneticPr fontId="2"/>
  </si>
  <si>
    <t>６４期</t>
    <rPh sb="2" eb="3">
      <t>キ</t>
    </rPh>
    <phoneticPr fontId="2"/>
  </si>
  <si>
    <t>６５期</t>
    <rPh sb="2" eb="3">
      <t>キ</t>
    </rPh>
    <phoneticPr fontId="2"/>
  </si>
  <si>
    <t>６６期</t>
    <rPh sb="2" eb="3">
      <t>キ</t>
    </rPh>
    <phoneticPr fontId="2"/>
  </si>
  <si>
    <t>６７期</t>
    <rPh sb="2" eb="3">
      <t>キ</t>
    </rPh>
    <phoneticPr fontId="2"/>
  </si>
  <si>
    <t>６８期</t>
    <rPh sb="2" eb="3">
      <t>キ</t>
    </rPh>
    <phoneticPr fontId="2"/>
  </si>
  <si>
    <t>６９期</t>
    <rPh sb="2" eb="3">
      <t>キ</t>
    </rPh>
    <phoneticPr fontId="2"/>
  </si>
  <si>
    <t>７０期</t>
    <rPh sb="2" eb="3">
      <t>キ</t>
    </rPh>
    <phoneticPr fontId="2"/>
  </si>
  <si>
    <t>７１期</t>
    <rPh sb="2" eb="3">
      <t>キ</t>
    </rPh>
    <phoneticPr fontId="2"/>
  </si>
  <si>
    <t>７２期</t>
    <rPh sb="2" eb="3">
      <t>キ</t>
    </rPh>
    <phoneticPr fontId="2"/>
  </si>
  <si>
    <t>７３期</t>
    <rPh sb="2" eb="3">
      <t>キ</t>
    </rPh>
    <phoneticPr fontId="2"/>
  </si>
  <si>
    <t>７４期</t>
    <rPh sb="2" eb="3">
      <t>キ</t>
    </rPh>
    <phoneticPr fontId="2"/>
  </si>
  <si>
    <t>７５期</t>
    <rPh sb="2" eb="3">
      <t>キ</t>
    </rPh>
    <phoneticPr fontId="2"/>
  </si>
  <si>
    <t>７６期</t>
    <rPh sb="2" eb="3">
      <t>キ</t>
    </rPh>
    <phoneticPr fontId="2"/>
  </si>
  <si>
    <t>７７期</t>
    <rPh sb="2" eb="3">
      <t>キ</t>
    </rPh>
    <phoneticPr fontId="2"/>
  </si>
  <si>
    <t>単体</t>
    <rPh sb="0" eb="2">
      <t>タンタイ</t>
    </rPh>
    <phoneticPr fontId="2"/>
  </si>
  <si>
    <t>連結</t>
    <rPh sb="0" eb="2">
      <t>レンケツ</t>
    </rPh>
    <phoneticPr fontId="2"/>
  </si>
  <si>
    <t>■過去最高計上期　（連結は５５期以降）</t>
    <rPh sb="1" eb="3">
      <t>カコ</t>
    </rPh>
    <rPh sb="3" eb="5">
      <t>サイコウ</t>
    </rPh>
    <rPh sb="5" eb="7">
      <t>ケイジョウ</t>
    </rPh>
    <rPh sb="7" eb="8">
      <t>キ</t>
    </rPh>
    <rPh sb="10" eb="12">
      <t>レンケツ</t>
    </rPh>
    <rPh sb="15" eb="16">
      <t>キ</t>
    </rPh>
    <rPh sb="16" eb="18">
      <t>イコウ</t>
    </rPh>
    <phoneticPr fontId="2"/>
  </si>
  <si>
    <t>受注高</t>
    <rPh sb="0" eb="3">
      <t>ジュチュウダカ</t>
    </rPh>
    <phoneticPr fontId="2"/>
  </si>
  <si>
    <t>当期純利益</t>
    <rPh sb="0" eb="2">
      <t>トウキ</t>
    </rPh>
    <rPh sb="2" eb="5">
      <t>ジュンリエキ</t>
    </rPh>
    <phoneticPr fontId="2"/>
  </si>
  <si>
    <t>完成工事高</t>
    <rPh sb="0" eb="2">
      <t>カンセイ</t>
    </rPh>
    <rPh sb="2" eb="4">
      <t>コウジ</t>
    </rPh>
    <rPh sb="4" eb="5">
      <t>ダカ</t>
    </rPh>
    <phoneticPr fontId="2"/>
  </si>
  <si>
    <t>　（単体のみ）</t>
    <rPh sb="2" eb="4">
      <t>タンタイ</t>
    </rPh>
    <phoneticPr fontId="2"/>
  </si>
  <si>
    <t>完成工事総利益</t>
    <rPh sb="0" eb="2">
      <t>カンセイ</t>
    </rPh>
    <rPh sb="2" eb="4">
      <t>コウジ</t>
    </rPh>
    <rPh sb="4" eb="7">
      <t>ソウリエキ</t>
    </rPh>
    <phoneticPr fontId="2"/>
  </si>
  <si>
    <t>完成工事総利益率</t>
    <rPh sb="0" eb="2">
      <t>カンセイ</t>
    </rPh>
    <rPh sb="2" eb="4">
      <t>コウジ</t>
    </rPh>
    <rPh sb="4" eb="5">
      <t>ソウ</t>
    </rPh>
    <rPh sb="5" eb="7">
      <t>リエキ</t>
    </rPh>
    <rPh sb="7" eb="8">
      <t>リツ</t>
    </rPh>
    <phoneticPr fontId="2"/>
  </si>
  <si>
    <t>一般管理費</t>
    <rPh sb="0" eb="2">
      <t>イッパン</t>
    </rPh>
    <rPh sb="2" eb="5">
      <t>カンリヒ</t>
    </rPh>
    <phoneticPr fontId="2"/>
  </si>
  <si>
    <t>持分法投資利益</t>
    <rPh sb="0" eb="3">
      <t>モチブンポウ</t>
    </rPh>
    <rPh sb="3" eb="5">
      <t>トウシ</t>
    </rPh>
    <rPh sb="5" eb="7">
      <t>リエキ</t>
    </rPh>
    <phoneticPr fontId="2"/>
  </si>
  <si>
    <t>持分法投資損失</t>
    <rPh sb="0" eb="3">
      <t>モチブンポウ</t>
    </rPh>
    <rPh sb="3" eb="5">
      <t>トウシ</t>
    </rPh>
    <rPh sb="5" eb="7">
      <t>ソンシツ</t>
    </rPh>
    <phoneticPr fontId="2"/>
  </si>
  <si>
    <t>税金費用</t>
    <rPh sb="0" eb="2">
      <t>ゼイキン</t>
    </rPh>
    <rPh sb="2" eb="4">
      <t>ヒヨウ</t>
    </rPh>
    <phoneticPr fontId="2"/>
  </si>
  <si>
    <t>非支配株主に帰属する当期純利益</t>
    <rPh sb="0" eb="1">
      <t>ヒ</t>
    </rPh>
    <rPh sb="1" eb="3">
      <t>シハイ</t>
    </rPh>
    <rPh sb="3" eb="5">
      <t>カブヌシ</t>
    </rPh>
    <rPh sb="6" eb="8">
      <t>キゾク</t>
    </rPh>
    <rPh sb="10" eb="12">
      <t>トウキ</t>
    </rPh>
    <rPh sb="12" eb="13">
      <t>ジュン</t>
    </rPh>
    <rPh sb="13" eb="15">
      <t>リエキ</t>
    </rPh>
    <phoneticPr fontId="2"/>
  </si>
  <si>
    <t>当期純利益（親会社株主に帰属する）</t>
    <rPh sb="0" eb="2">
      <t>トウキ</t>
    </rPh>
    <rPh sb="2" eb="5">
      <t>ジュンリエキ</t>
    </rPh>
    <rPh sb="6" eb="9">
      <t>オヤガイシャ</t>
    </rPh>
    <rPh sb="9" eb="11">
      <t>カブヌシ</t>
    </rPh>
    <rPh sb="12" eb="14">
      <t>キゾク</t>
    </rPh>
    <phoneticPr fontId="2"/>
  </si>
  <si>
    <t>配当金</t>
    <rPh sb="0" eb="3">
      <t>ハイトウキン</t>
    </rPh>
    <phoneticPr fontId="2"/>
  </si>
  <si>
    <t>配当性向</t>
    <rPh sb="0" eb="2">
      <t>ハイトウ</t>
    </rPh>
    <rPh sb="2" eb="4">
      <t>セイコウ</t>
    </rPh>
    <phoneticPr fontId="2"/>
  </si>
  <si>
    <t>ＲＯＥ（自己資本利益率）</t>
    <rPh sb="4" eb="6">
      <t>ジコ</t>
    </rPh>
    <rPh sb="6" eb="8">
      <t>シホン</t>
    </rPh>
    <rPh sb="8" eb="10">
      <t>リエキ</t>
    </rPh>
    <rPh sb="10" eb="11">
      <t>リツ</t>
    </rPh>
    <phoneticPr fontId="2"/>
  </si>
  <si>
    <t>ＲＯＥ（自己資本利益率）　　　純利益÷自己資本（期中平均）</t>
    <rPh sb="4" eb="6">
      <t>ジコ</t>
    </rPh>
    <rPh sb="6" eb="8">
      <t>シホン</t>
    </rPh>
    <rPh sb="8" eb="10">
      <t>リエキ</t>
    </rPh>
    <rPh sb="10" eb="11">
      <t>リツ</t>
    </rPh>
    <rPh sb="15" eb="18">
      <t>ジュンリエキ</t>
    </rPh>
    <rPh sb="19" eb="21">
      <t>ジコ</t>
    </rPh>
    <rPh sb="21" eb="23">
      <t>シホン</t>
    </rPh>
    <rPh sb="24" eb="26">
      <t>キチュウ</t>
    </rPh>
    <rPh sb="26" eb="28">
      <t>ヘイキン</t>
    </rPh>
    <phoneticPr fontId="2"/>
  </si>
  <si>
    <t>一株当たり配当金（円）</t>
    <rPh sb="0" eb="2">
      <t>ヒトカブ</t>
    </rPh>
    <rPh sb="2" eb="3">
      <t>ア</t>
    </rPh>
    <rPh sb="5" eb="8">
      <t>ハイトウキン</t>
    </rPh>
    <rPh sb="9" eb="10">
      <t>エン</t>
    </rPh>
    <phoneticPr fontId="2"/>
  </si>
  <si>
    <t>貸借対照表（主要数値）</t>
    <rPh sb="0" eb="5">
      <t>タイシャクタイショウヒョウ</t>
    </rPh>
    <rPh sb="6" eb="8">
      <t>シュヨウ</t>
    </rPh>
    <rPh sb="8" eb="10">
      <t>スウチ</t>
    </rPh>
    <phoneticPr fontId="2"/>
  </si>
  <si>
    <t>■過去最高計上期　（単体・連結共に５５期以降）</t>
    <rPh sb="1" eb="3">
      <t>カコ</t>
    </rPh>
    <rPh sb="3" eb="5">
      <t>サイコウ</t>
    </rPh>
    <rPh sb="5" eb="7">
      <t>ケイジョウ</t>
    </rPh>
    <rPh sb="6" eb="7">
      <t>シュウケイ</t>
    </rPh>
    <rPh sb="7" eb="8">
      <t>キ</t>
    </rPh>
    <rPh sb="10" eb="12">
      <t>タンタイ</t>
    </rPh>
    <rPh sb="13" eb="15">
      <t>レンケツ</t>
    </rPh>
    <rPh sb="15" eb="16">
      <t>トモ</t>
    </rPh>
    <rPh sb="19" eb="20">
      <t>キ</t>
    </rPh>
    <rPh sb="20" eb="22">
      <t>イコウ</t>
    </rPh>
    <phoneticPr fontId="2"/>
  </si>
  <si>
    <t>純資産の部</t>
    <rPh sb="0" eb="3">
      <t>ジュンシサン</t>
    </rPh>
    <rPh sb="4" eb="5">
      <t>ブ</t>
    </rPh>
    <phoneticPr fontId="2"/>
  </si>
  <si>
    <t>利益剰余金</t>
    <rPh sb="0" eb="2">
      <t>リエキ</t>
    </rPh>
    <rPh sb="2" eb="5">
      <t>ジョウヨキン</t>
    </rPh>
    <phoneticPr fontId="2"/>
  </si>
  <si>
    <t>７７期</t>
    <phoneticPr fontId="2"/>
  </si>
  <si>
    <t>７６期</t>
  </si>
  <si>
    <t>　資本金</t>
    <rPh sb="1" eb="4">
      <t>シホンキン</t>
    </rPh>
    <phoneticPr fontId="2"/>
  </si>
  <si>
    <t>　資本剰余金</t>
    <rPh sb="1" eb="3">
      <t>シホン</t>
    </rPh>
    <rPh sb="3" eb="6">
      <t>ジョウヨキン</t>
    </rPh>
    <phoneticPr fontId="2"/>
  </si>
  <si>
    <t>　利益剰余金</t>
    <rPh sb="1" eb="3">
      <t>リエキ</t>
    </rPh>
    <rPh sb="3" eb="6">
      <t>ジョウヨキン</t>
    </rPh>
    <phoneticPr fontId="2"/>
  </si>
  <si>
    <t>　　利益準備金</t>
    <rPh sb="2" eb="4">
      <t>リエキ</t>
    </rPh>
    <rPh sb="4" eb="7">
      <t>ジュンビキン</t>
    </rPh>
    <phoneticPr fontId="2"/>
  </si>
  <si>
    <t>　　別途積立金</t>
    <rPh sb="2" eb="4">
      <t>ベット</t>
    </rPh>
    <rPh sb="4" eb="6">
      <t>ツミタテ</t>
    </rPh>
    <rPh sb="6" eb="7">
      <t>キン</t>
    </rPh>
    <phoneticPr fontId="2"/>
  </si>
  <si>
    <t>株主資本</t>
    <rPh sb="0" eb="2">
      <t>カブヌシ</t>
    </rPh>
    <rPh sb="2" eb="4">
      <t>シホン</t>
    </rPh>
    <phoneticPr fontId="2"/>
  </si>
  <si>
    <t>現金預金</t>
    <rPh sb="0" eb="2">
      <t>ゲンキン</t>
    </rPh>
    <rPh sb="2" eb="4">
      <t>ヨキン</t>
    </rPh>
    <phoneticPr fontId="2"/>
  </si>
  <si>
    <t>　　繰越利益剰余金</t>
    <rPh sb="2" eb="4">
      <t>クリコシ</t>
    </rPh>
    <rPh sb="4" eb="6">
      <t>リエキ</t>
    </rPh>
    <rPh sb="6" eb="9">
      <t>ジョウヨキン</t>
    </rPh>
    <phoneticPr fontId="2"/>
  </si>
  <si>
    <t>　自己株式</t>
    <rPh sb="1" eb="3">
      <t>ジコ</t>
    </rPh>
    <rPh sb="3" eb="5">
      <t>カブシキ</t>
    </rPh>
    <phoneticPr fontId="2"/>
  </si>
  <si>
    <t>株主資本合計</t>
    <rPh sb="0" eb="2">
      <t>カブヌシ</t>
    </rPh>
    <rPh sb="2" eb="4">
      <t>シホン</t>
    </rPh>
    <rPh sb="4" eb="6">
      <t>ゴウケイ</t>
    </rPh>
    <phoneticPr fontId="2"/>
  </si>
  <si>
    <t>　有価証券評価差額金</t>
    <rPh sb="1" eb="3">
      <t>ユウカ</t>
    </rPh>
    <rPh sb="3" eb="5">
      <t>ショウケン</t>
    </rPh>
    <rPh sb="5" eb="7">
      <t>ヒョウカ</t>
    </rPh>
    <rPh sb="7" eb="9">
      <t>サガク</t>
    </rPh>
    <rPh sb="9" eb="10">
      <t>キン</t>
    </rPh>
    <phoneticPr fontId="2"/>
  </si>
  <si>
    <t>　其他包括利益累計額</t>
    <rPh sb="1" eb="2">
      <t>ソ</t>
    </rPh>
    <rPh sb="2" eb="3">
      <t>タ</t>
    </rPh>
    <rPh sb="3" eb="5">
      <t>ホウカツ</t>
    </rPh>
    <rPh sb="5" eb="7">
      <t>リエキ</t>
    </rPh>
    <rPh sb="7" eb="10">
      <t>ルイケイガク</t>
    </rPh>
    <phoneticPr fontId="2"/>
  </si>
  <si>
    <t>有価証券評価差額金</t>
    <rPh sb="0" eb="2">
      <t>ユウカ</t>
    </rPh>
    <rPh sb="2" eb="4">
      <t>ショウケン</t>
    </rPh>
    <rPh sb="4" eb="6">
      <t>ヒョウカ</t>
    </rPh>
    <rPh sb="6" eb="8">
      <t>サガク</t>
    </rPh>
    <rPh sb="8" eb="9">
      <t>キン</t>
    </rPh>
    <phoneticPr fontId="2"/>
  </si>
  <si>
    <t>７６期</t>
    <phoneticPr fontId="2"/>
  </si>
  <si>
    <t>ネット有利子負債</t>
    <rPh sb="3" eb="4">
      <t>ユウ</t>
    </rPh>
    <rPh sb="4" eb="6">
      <t>リシ</t>
    </rPh>
    <rPh sb="6" eb="8">
      <t>フサイ</t>
    </rPh>
    <phoneticPr fontId="2"/>
  </si>
  <si>
    <t>包括利益合計</t>
    <rPh sb="0" eb="2">
      <t>ホウカツ</t>
    </rPh>
    <rPh sb="2" eb="4">
      <t>リエキ</t>
    </rPh>
    <rPh sb="4" eb="6">
      <t>ゴウケイ</t>
    </rPh>
    <phoneticPr fontId="2"/>
  </si>
  <si>
    <t>　非支配株主持分</t>
    <rPh sb="1" eb="2">
      <t>ヒ</t>
    </rPh>
    <rPh sb="2" eb="4">
      <t>シハイ</t>
    </rPh>
    <rPh sb="4" eb="6">
      <t>カブヌシ</t>
    </rPh>
    <rPh sb="6" eb="8">
      <t>モチブン</t>
    </rPh>
    <phoneticPr fontId="2"/>
  </si>
  <si>
    <t>総資産合計</t>
    <rPh sb="0" eb="3">
      <t>ソウシサン</t>
    </rPh>
    <rPh sb="3" eb="5">
      <t>ゴウケイ</t>
    </rPh>
    <phoneticPr fontId="2"/>
  </si>
  <si>
    <t>自己資本比率</t>
    <rPh sb="0" eb="2">
      <t>ジコ</t>
    </rPh>
    <rPh sb="2" eb="4">
      <t>シホン</t>
    </rPh>
    <rPh sb="4" eb="6">
      <t>ヒリツ</t>
    </rPh>
    <phoneticPr fontId="2"/>
  </si>
  <si>
    <t>総資産</t>
    <rPh sb="0" eb="3">
      <t>ソウシサン</t>
    </rPh>
    <phoneticPr fontId="2"/>
  </si>
  <si>
    <t>有利子負債比率</t>
    <rPh sb="0" eb="1">
      <t>ユウ</t>
    </rPh>
    <rPh sb="1" eb="3">
      <t>リシ</t>
    </rPh>
    <rPh sb="3" eb="5">
      <t>フサイ</t>
    </rPh>
    <rPh sb="5" eb="7">
      <t>ヒリツ</t>
    </rPh>
    <phoneticPr fontId="2"/>
  </si>
  <si>
    <t>（有利子負債／自己資本）</t>
    <rPh sb="1" eb="2">
      <t>ユウ</t>
    </rPh>
    <rPh sb="2" eb="4">
      <t>リシ</t>
    </rPh>
    <rPh sb="4" eb="6">
      <t>フサイ</t>
    </rPh>
    <rPh sb="7" eb="9">
      <t>ジコ</t>
    </rPh>
    <rPh sb="9" eb="11">
      <t>シホン</t>
    </rPh>
    <phoneticPr fontId="2"/>
  </si>
  <si>
    <r>
      <t>　短期借入金</t>
    </r>
    <r>
      <rPr>
        <sz val="12"/>
        <color theme="1"/>
        <rFont val="ＭＳ Ｐゴシック"/>
        <family val="3"/>
        <charset val="128"/>
        <scheme val="minor"/>
      </rPr>
      <t>（1年内含む）</t>
    </r>
    <rPh sb="1" eb="3">
      <t>タンキ</t>
    </rPh>
    <rPh sb="3" eb="5">
      <t>カリイレ</t>
    </rPh>
    <rPh sb="5" eb="6">
      <t>キン</t>
    </rPh>
    <rPh sb="8" eb="9">
      <t>ネン</t>
    </rPh>
    <rPh sb="9" eb="10">
      <t>ナイ</t>
    </rPh>
    <rPh sb="10" eb="11">
      <t>フク</t>
    </rPh>
    <phoneticPr fontId="2"/>
  </si>
  <si>
    <t xml:space="preserve">  コマーシャルペーパー</t>
    <phoneticPr fontId="2"/>
  </si>
  <si>
    <t>　長期借入金</t>
    <rPh sb="1" eb="3">
      <t>チョウキ</t>
    </rPh>
    <rPh sb="3" eb="5">
      <t>カリイレ</t>
    </rPh>
    <rPh sb="5" eb="6">
      <t>キン</t>
    </rPh>
    <phoneticPr fontId="2"/>
  </si>
  <si>
    <r>
      <t>　ﾉﾝﾘｺｰｽ借入金</t>
    </r>
    <r>
      <rPr>
        <sz val="12"/>
        <color theme="1"/>
        <rFont val="ＭＳ Ｐゴシック"/>
        <family val="3"/>
        <charset val="128"/>
        <scheme val="minor"/>
      </rPr>
      <t>（１年内含む）</t>
    </r>
    <rPh sb="7" eb="9">
      <t>カリイレ</t>
    </rPh>
    <rPh sb="9" eb="10">
      <t>キン</t>
    </rPh>
    <rPh sb="12" eb="13">
      <t>ネン</t>
    </rPh>
    <rPh sb="13" eb="14">
      <t>ナイ</t>
    </rPh>
    <rPh sb="14" eb="15">
      <t>フク</t>
    </rPh>
    <phoneticPr fontId="2"/>
  </si>
  <si>
    <t>別途積立金</t>
    <rPh sb="0" eb="2">
      <t>ベット</t>
    </rPh>
    <rPh sb="2" eb="4">
      <t>ツミタテ</t>
    </rPh>
    <rPh sb="4" eb="5">
      <t>キン</t>
    </rPh>
    <phoneticPr fontId="2"/>
  </si>
  <si>
    <r>
      <t>　社債</t>
    </r>
    <r>
      <rPr>
        <sz val="12"/>
        <color theme="1"/>
        <rFont val="ＭＳ Ｐゴシック"/>
        <family val="3"/>
        <charset val="128"/>
        <scheme val="minor"/>
      </rPr>
      <t>（1年内含む）</t>
    </r>
    <rPh sb="1" eb="3">
      <t>シャサイ</t>
    </rPh>
    <rPh sb="5" eb="6">
      <t>ネン</t>
    </rPh>
    <rPh sb="6" eb="7">
      <t>ナイ</t>
    </rPh>
    <rPh sb="7" eb="8">
      <t>フク</t>
    </rPh>
    <phoneticPr fontId="2"/>
  </si>
  <si>
    <r>
      <t>　ﾉﾝﾘｺｰｽ社債</t>
    </r>
    <r>
      <rPr>
        <sz val="12"/>
        <color theme="1"/>
        <rFont val="ＭＳ Ｐゴシック"/>
        <family val="3"/>
        <charset val="128"/>
        <scheme val="minor"/>
      </rPr>
      <t>（１年内含む）</t>
    </r>
    <rPh sb="7" eb="9">
      <t>シャサイ</t>
    </rPh>
    <rPh sb="9" eb="10">
      <t>ニュウキン</t>
    </rPh>
    <rPh sb="11" eb="12">
      <t>ネン</t>
    </rPh>
    <rPh sb="12" eb="13">
      <t>ナイ</t>
    </rPh>
    <rPh sb="13" eb="14">
      <t>フク</t>
    </rPh>
    <phoneticPr fontId="2"/>
  </si>
  <si>
    <r>
      <t>　新株予約権付社債</t>
    </r>
    <r>
      <rPr>
        <sz val="12"/>
        <color theme="1"/>
        <rFont val="ＭＳ Ｐゴシック"/>
        <family val="3"/>
        <charset val="128"/>
        <scheme val="minor"/>
      </rPr>
      <t>（転換社債）</t>
    </r>
    <rPh sb="1" eb="3">
      <t>シンカブ</t>
    </rPh>
    <rPh sb="3" eb="5">
      <t>ヨヤク</t>
    </rPh>
    <rPh sb="5" eb="6">
      <t>ケン</t>
    </rPh>
    <rPh sb="6" eb="7">
      <t>ツキ</t>
    </rPh>
    <rPh sb="7" eb="9">
      <t>シャサイ</t>
    </rPh>
    <rPh sb="10" eb="12">
      <t>テンカン</t>
    </rPh>
    <rPh sb="12" eb="14">
      <t>シャサイ</t>
    </rPh>
    <phoneticPr fontId="2"/>
  </si>
  <si>
    <t>有利子負債合計</t>
    <rPh sb="0" eb="1">
      <t>ユウ</t>
    </rPh>
    <rPh sb="1" eb="3">
      <t>リシ</t>
    </rPh>
    <rPh sb="3" eb="5">
      <t>フサイ</t>
    </rPh>
    <rPh sb="5" eb="7">
      <t>ゴウケイ</t>
    </rPh>
    <phoneticPr fontId="2"/>
  </si>
  <si>
    <t>有利子負債構成比</t>
    <rPh sb="0" eb="1">
      <t>ユウ</t>
    </rPh>
    <rPh sb="1" eb="3">
      <t>リシ</t>
    </rPh>
    <rPh sb="3" eb="5">
      <t>フサイ</t>
    </rPh>
    <rPh sb="5" eb="8">
      <t>コウセイヒ</t>
    </rPh>
    <phoneticPr fontId="2"/>
  </si>
  <si>
    <t>（自己資本／総資産）</t>
    <rPh sb="1" eb="3">
      <t>ジコ</t>
    </rPh>
    <rPh sb="3" eb="5">
      <t>シホン</t>
    </rPh>
    <rPh sb="6" eb="9">
      <t>ソウシサン</t>
    </rPh>
    <phoneticPr fontId="2"/>
  </si>
  <si>
    <t>ネット有利子負債合計</t>
    <rPh sb="3" eb="4">
      <t>ユウ</t>
    </rPh>
    <rPh sb="4" eb="6">
      <t>リシ</t>
    </rPh>
    <rPh sb="6" eb="8">
      <t>フサイ</t>
    </rPh>
    <rPh sb="8" eb="10">
      <t>ゴウケイ</t>
    </rPh>
    <phoneticPr fontId="2"/>
  </si>
  <si>
    <t>ネット有利子負債比率</t>
    <rPh sb="3" eb="4">
      <t>ユウ</t>
    </rPh>
    <rPh sb="4" eb="6">
      <t>リシ</t>
    </rPh>
    <rPh sb="6" eb="8">
      <t>フサイ</t>
    </rPh>
    <rPh sb="8" eb="10">
      <t>ヒリツ</t>
    </rPh>
    <phoneticPr fontId="2"/>
  </si>
  <si>
    <t>（ネット有利子負債／自己資本）</t>
    <rPh sb="4" eb="5">
      <t>ユウ</t>
    </rPh>
    <rPh sb="5" eb="7">
      <t>リシ</t>
    </rPh>
    <rPh sb="7" eb="9">
      <t>フサイ</t>
    </rPh>
    <rPh sb="10" eb="12">
      <t>ジコ</t>
    </rPh>
    <rPh sb="12" eb="14">
      <t>シホン</t>
    </rPh>
    <phoneticPr fontId="2"/>
  </si>
  <si>
    <t>　</t>
    <phoneticPr fontId="2"/>
  </si>
  <si>
    <r>
      <rPr>
        <b/>
        <sz val="20"/>
        <color rgb="FFFF0000"/>
        <rFont val="ＭＳ Ｐゴシック"/>
        <family val="3"/>
        <charset val="128"/>
        <scheme val="minor"/>
      </rPr>
      <t>中間期</t>
    </r>
    <r>
      <rPr>
        <b/>
        <sz val="20"/>
        <color theme="1"/>
        <rFont val="ＭＳ Ｐゴシック"/>
        <family val="3"/>
        <charset val="128"/>
        <scheme val="minor"/>
      </rPr>
      <t>　損益計算書</t>
    </r>
    <rPh sb="0" eb="2">
      <t>チュウカン</t>
    </rPh>
    <rPh sb="2" eb="3">
      <t>キ</t>
    </rPh>
    <rPh sb="4" eb="6">
      <t>ソンエキ</t>
    </rPh>
    <rPh sb="6" eb="9">
      <t>ケイサンショ</t>
    </rPh>
    <phoneticPr fontId="2"/>
  </si>
  <si>
    <t>S47/5月末</t>
    <phoneticPr fontId="2"/>
  </si>
  <si>
    <t>S48/5月末</t>
    <phoneticPr fontId="2"/>
  </si>
  <si>
    <t>S49/5月末</t>
    <phoneticPr fontId="2"/>
  </si>
  <si>
    <t>S50/5月末</t>
    <phoneticPr fontId="2"/>
  </si>
  <si>
    <t>S51/5月末</t>
    <phoneticPr fontId="2"/>
  </si>
  <si>
    <t>S52/5月末</t>
    <phoneticPr fontId="2"/>
  </si>
  <si>
    <t>S53/5月末</t>
    <phoneticPr fontId="2"/>
  </si>
  <si>
    <t>S54/5月末</t>
    <phoneticPr fontId="2"/>
  </si>
  <si>
    <t>S55/5月末</t>
    <phoneticPr fontId="2"/>
  </si>
  <si>
    <t>S56/5月末</t>
    <phoneticPr fontId="2"/>
  </si>
  <si>
    <t>S57/5月末</t>
    <phoneticPr fontId="2"/>
  </si>
  <si>
    <t>S58/5月末</t>
    <phoneticPr fontId="2"/>
  </si>
  <si>
    <t>S59/5月末</t>
    <phoneticPr fontId="2"/>
  </si>
  <si>
    <t>S60/5月末</t>
    <phoneticPr fontId="2"/>
  </si>
  <si>
    <t>S61/5月末</t>
    <phoneticPr fontId="2"/>
  </si>
  <si>
    <t>S62/5月末</t>
    <phoneticPr fontId="2"/>
  </si>
  <si>
    <t>S63/9月末</t>
    <phoneticPr fontId="2"/>
  </si>
  <si>
    <t>Ｈ元/9月末</t>
    <rPh sb="1" eb="2">
      <t>ガン</t>
    </rPh>
    <phoneticPr fontId="2"/>
  </si>
  <si>
    <t>Ｈ2/9月末</t>
    <phoneticPr fontId="2"/>
  </si>
  <si>
    <t>Ｈ3/9月末</t>
    <phoneticPr fontId="2"/>
  </si>
  <si>
    <t>Ｈ4/9月末</t>
    <phoneticPr fontId="2"/>
  </si>
  <si>
    <t>Ｈ5/9月末</t>
    <phoneticPr fontId="2"/>
  </si>
  <si>
    <t>Ｈ6/9月末</t>
    <phoneticPr fontId="2"/>
  </si>
  <si>
    <t>Ｈ7/9月末</t>
    <phoneticPr fontId="2"/>
  </si>
  <si>
    <t>Ｈ8/9月末</t>
    <phoneticPr fontId="2"/>
  </si>
  <si>
    <t>Ｈ9/9月末</t>
    <phoneticPr fontId="2"/>
  </si>
  <si>
    <t>Ｈ10/9月末</t>
    <phoneticPr fontId="2"/>
  </si>
  <si>
    <t>Ｈ11/9月末</t>
    <phoneticPr fontId="2"/>
  </si>
  <si>
    <t>Ｈ12/9月末</t>
    <rPh sb="5" eb="6">
      <t>ツキ</t>
    </rPh>
    <rPh sb="6" eb="7">
      <t>マツ</t>
    </rPh>
    <phoneticPr fontId="2"/>
  </si>
  <si>
    <t>Ｈ13/9月末</t>
    <rPh sb="5" eb="6">
      <t>ツキ</t>
    </rPh>
    <rPh sb="6" eb="7">
      <t>マツ</t>
    </rPh>
    <phoneticPr fontId="2"/>
  </si>
  <si>
    <t>Ｈ14/9月末</t>
    <rPh sb="5" eb="6">
      <t>ツキ</t>
    </rPh>
    <rPh sb="6" eb="7">
      <t>マツ</t>
    </rPh>
    <phoneticPr fontId="2"/>
  </si>
  <si>
    <t>Ｈ15/9月末</t>
    <rPh sb="5" eb="6">
      <t>ツキ</t>
    </rPh>
    <rPh sb="6" eb="7">
      <t>マツ</t>
    </rPh>
    <phoneticPr fontId="2"/>
  </si>
  <si>
    <t>Ｈ16/9月末</t>
    <rPh sb="5" eb="6">
      <t>ツキ</t>
    </rPh>
    <rPh sb="6" eb="7">
      <t>マツ</t>
    </rPh>
    <phoneticPr fontId="2"/>
  </si>
  <si>
    <t>Ｈ17/9月末</t>
    <rPh sb="5" eb="6">
      <t>ツキ</t>
    </rPh>
    <rPh sb="6" eb="7">
      <t>マツ</t>
    </rPh>
    <phoneticPr fontId="2"/>
  </si>
  <si>
    <t>Ｈ18/9月末</t>
    <rPh sb="5" eb="6">
      <t>ツキ</t>
    </rPh>
    <rPh sb="6" eb="7">
      <t>マツ</t>
    </rPh>
    <phoneticPr fontId="2"/>
  </si>
  <si>
    <t>Ｈ19/9月末</t>
    <rPh sb="5" eb="6">
      <t>ツキ</t>
    </rPh>
    <rPh sb="6" eb="7">
      <t>マツ</t>
    </rPh>
    <phoneticPr fontId="2"/>
  </si>
  <si>
    <t>Ｈ20/9月末</t>
    <rPh sb="5" eb="6">
      <t>ツキ</t>
    </rPh>
    <rPh sb="6" eb="7">
      <t>マツ</t>
    </rPh>
    <phoneticPr fontId="2"/>
  </si>
  <si>
    <t>Ｈ21/9月末</t>
    <rPh sb="5" eb="6">
      <t>ツキ</t>
    </rPh>
    <rPh sb="6" eb="7">
      <t>マツ</t>
    </rPh>
    <phoneticPr fontId="2"/>
  </si>
  <si>
    <t>Ｈ22/9月末</t>
    <rPh sb="5" eb="6">
      <t>ツキ</t>
    </rPh>
    <rPh sb="6" eb="7">
      <t>マツ</t>
    </rPh>
    <phoneticPr fontId="2"/>
  </si>
  <si>
    <t>Ｈ23/9月末</t>
    <rPh sb="5" eb="6">
      <t>ツキ</t>
    </rPh>
    <rPh sb="6" eb="7">
      <t>マツ</t>
    </rPh>
    <phoneticPr fontId="2"/>
  </si>
  <si>
    <t>Ｈ24/9月末</t>
    <rPh sb="5" eb="6">
      <t>ツキ</t>
    </rPh>
    <rPh sb="6" eb="7">
      <t>マツ</t>
    </rPh>
    <phoneticPr fontId="2"/>
  </si>
  <si>
    <t>Ｈ25/9月末</t>
    <rPh sb="5" eb="6">
      <t>ツキ</t>
    </rPh>
    <rPh sb="6" eb="7">
      <t>マツ</t>
    </rPh>
    <phoneticPr fontId="2"/>
  </si>
  <si>
    <t>Ｈ26/9月末</t>
    <rPh sb="5" eb="6">
      <t>ツキ</t>
    </rPh>
    <rPh sb="6" eb="7">
      <t>マツ</t>
    </rPh>
    <phoneticPr fontId="2"/>
  </si>
  <si>
    <t>Ｈ27/9月末</t>
    <rPh sb="5" eb="6">
      <t>ツキ</t>
    </rPh>
    <rPh sb="6" eb="7">
      <t>マツ</t>
    </rPh>
    <phoneticPr fontId="2"/>
  </si>
  <si>
    <t>Ｈ28/9月末</t>
    <rPh sb="5" eb="6">
      <t>ツキ</t>
    </rPh>
    <rPh sb="6" eb="7">
      <t>マツ</t>
    </rPh>
    <phoneticPr fontId="2"/>
  </si>
  <si>
    <t>Ｈ29/9月末</t>
    <rPh sb="5" eb="6">
      <t>ツキ</t>
    </rPh>
    <rPh sb="6" eb="7">
      <t>マツ</t>
    </rPh>
    <phoneticPr fontId="2"/>
  </si>
  <si>
    <t>Ｈ30/9月末</t>
    <rPh sb="5" eb="6">
      <t>ツキ</t>
    </rPh>
    <rPh sb="6" eb="7">
      <t>マツ</t>
    </rPh>
    <phoneticPr fontId="2"/>
  </si>
  <si>
    <t>1972/5月末</t>
    <phoneticPr fontId="2"/>
  </si>
  <si>
    <t>1973/5月末</t>
    <phoneticPr fontId="2"/>
  </si>
  <si>
    <t>1974/5月末</t>
    <phoneticPr fontId="2"/>
  </si>
  <si>
    <t>1975/5月末</t>
    <phoneticPr fontId="2"/>
  </si>
  <si>
    <t>1976/5月末</t>
    <phoneticPr fontId="2"/>
  </si>
  <si>
    <t>1977/5月末</t>
    <phoneticPr fontId="2"/>
  </si>
  <si>
    <t>1978/5月末</t>
    <phoneticPr fontId="2"/>
  </si>
  <si>
    <t>1979/5月末</t>
    <phoneticPr fontId="2"/>
  </si>
  <si>
    <t>1980/5月末</t>
    <phoneticPr fontId="2"/>
  </si>
  <si>
    <t>1981/5月末</t>
    <phoneticPr fontId="2"/>
  </si>
  <si>
    <t>1982/5月末</t>
    <phoneticPr fontId="2"/>
  </si>
  <si>
    <t>1983/5月末</t>
    <phoneticPr fontId="2"/>
  </si>
  <si>
    <t>1984/5月末</t>
    <phoneticPr fontId="2"/>
  </si>
  <si>
    <t>1985/5月末</t>
    <phoneticPr fontId="2"/>
  </si>
  <si>
    <t>1986/5月末</t>
    <phoneticPr fontId="2"/>
  </si>
  <si>
    <t>1987/5月末</t>
    <phoneticPr fontId="2"/>
  </si>
  <si>
    <t>1988/9月末</t>
    <phoneticPr fontId="2"/>
  </si>
  <si>
    <t>1989/9月末</t>
    <phoneticPr fontId="2"/>
  </si>
  <si>
    <t>1990/9月末</t>
    <phoneticPr fontId="2"/>
  </si>
  <si>
    <t>1991/9月末</t>
    <phoneticPr fontId="2"/>
  </si>
  <si>
    <t>1992/9月末</t>
    <phoneticPr fontId="2"/>
  </si>
  <si>
    <t>1993/9月末</t>
    <phoneticPr fontId="2"/>
  </si>
  <si>
    <t>1994/9月末</t>
    <phoneticPr fontId="2"/>
  </si>
  <si>
    <t>1995/9月末</t>
    <phoneticPr fontId="2"/>
  </si>
  <si>
    <t>1996/9月末</t>
    <phoneticPr fontId="2"/>
  </si>
  <si>
    <t>1997/9月末</t>
    <phoneticPr fontId="2"/>
  </si>
  <si>
    <t>1998/9月末</t>
    <phoneticPr fontId="2"/>
  </si>
  <si>
    <t>1999/9月末</t>
    <phoneticPr fontId="2"/>
  </si>
  <si>
    <t>2000/9月末</t>
    <rPh sb="6" eb="7">
      <t>ツキ</t>
    </rPh>
    <rPh sb="7" eb="8">
      <t>マツ</t>
    </rPh>
    <phoneticPr fontId="2"/>
  </si>
  <si>
    <t>2001/9月末</t>
    <rPh sb="6" eb="7">
      <t>ツキ</t>
    </rPh>
    <rPh sb="7" eb="8">
      <t>マツ</t>
    </rPh>
    <phoneticPr fontId="2"/>
  </si>
  <si>
    <t>2002/9月末</t>
    <rPh sb="6" eb="7">
      <t>ツキ</t>
    </rPh>
    <rPh sb="7" eb="8">
      <t>マツ</t>
    </rPh>
    <phoneticPr fontId="2"/>
  </si>
  <si>
    <t>2003/9月末</t>
    <rPh sb="6" eb="7">
      <t>ツキ</t>
    </rPh>
    <rPh sb="7" eb="8">
      <t>マツ</t>
    </rPh>
    <phoneticPr fontId="2"/>
  </si>
  <si>
    <t>2004/9月末</t>
    <rPh sb="6" eb="7">
      <t>ツキ</t>
    </rPh>
    <rPh sb="7" eb="8">
      <t>マツ</t>
    </rPh>
    <phoneticPr fontId="2"/>
  </si>
  <si>
    <t>2005/9月末</t>
    <rPh sb="6" eb="7">
      <t>ツキ</t>
    </rPh>
    <rPh sb="7" eb="8">
      <t>マツ</t>
    </rPh>
    <phoneticPr fontId="2"/>
  </si>
  <si>
    <t>2006/9月末</t>
    <rPh sb="6" eb="7">
      <t>ツキ</t>
    </rPh>
    <rPh sb="7" eb="8">
      <t>マツ</t>
    </rPh>
    <phoneticPr fontId="2"/>
  </si>
  <si>
    <t>2007/9月末</t>
    <rPh sb="6" eb="7">
      <t>ツキ</t>
    </rPh>
    <rPh sb="7" eb="8">
      <t>マツ</t>
    </rPh>
    <phoneticPr fontId="2"/>
  </si>
  <si>
    <t>2008/9月末</t>
    <rPh sb="6" eb="7">
      <t>ツキ</t>
    </rPh>
    <rPh sb="7" eb="8">
      <t>マツ</t>
    </rPh>
    <phoneticPr fontId="2"/>
  </si>
  <si>
    <t>2009/9月末</t>
    <rPh sb="6" eb="7">
      <t>ツキ</t>
    </rPh>
    <rPh sb="7" eb="8">
      <t>マツ</t>
    </rPh>
    <phoneticPr fontId="2"/>
  </si>
  <si>
    <t>2010/9月末</t>
    <rPh sb="6" eb="7">
      <t>ツキ</t>
    </rPh>
    <rPh sb="7" eb="8">
      <t>マツ</t>
    </rPh>
    <phoneticPr fontId="2"/>
  </si>
  <si>
    <t>2011/9月末</t>
    <rPh sb="6" eb="7">
      <t>ツキ</t>
    </rPh>
    <rPh sb="7" eb="8">
      <t>マツ</t>
    </rPh>
    <phoneticPr fontId="2"/>
  </si>
  <si>
    <t>2012/9月末</t>
    <rPh sb="6" eb="7">
      <t>ツキ</t>
    </rPh>
    <rPh sb="7" eb="8">
      <t>マツ</t>
    </rPh>
    <phoneticPr fontId="2"/>
  </si>
  <si>
    <t>2013/9月末</t>
    <rPh sb="6" eb="7">
      <t>ツキ</t>
    </rPh>
    <rPh sb="7" eb="8">
      <t>マツ</t>
    </rPh>
    <phoneticPr fontId="2"/>
  </si>
  <si>
    <t>2014/9月末</t>
    <rPh sb="6" eb="7">
      <t>ツキ</t>
    </rPh>
    <rPh sb="7" eb="8">
      <t>マツ</t>
    </rPh>
    <phoneticPr fontId="2"/>
  </si>
  <si>
    <t>2015/9月末</t>
    <rPh sb="6" eb="7">
      <t>ツキ</t>
    </rPh>
    <rPh sb="7" eb="8">
      <t>マツ</t>
    </rPh>
    <phoneticPr fontId="2"/>
  </si>
  <si>
    <t>2016/9月末</t>
    <rPh sb="6" eb="7">
      <t>ツキ</t>
    </rPh>
    <rPh sb="7" eb="8">
      <t>マツ</t>
    </rPh>
    <phoneticPr fontId="2"/>
  </si>
  <si>
    <t>2017/9月末</t>
    <rPh sb="6" eb="7">
      <t>ツキ</t>
    </rPh>
    <rPh sb="7" eb="8">
      <t>マツ</t>
    </rPh>
    <phoneticPr fontId="2"/>
  </si>
  <si>
    <t>2018/9月末</t>
    <rPh sb="6" eb="7">
      <t>ツキ</t>
    </rPh>
    <rPh sb="7" eb="8">
      <t>マツ</t>
    </rPh>
    <phoneticPr fontId="2"/>
  </si>
  <si>
    <t>２７期中間</t>
  </si>
  <si>
    <t>２８期中間</t>
  </si>
  <si>
    <t>２９期中間</t>
  </si>
  <si>
    <t>３０期中間</t>
  </si>
  <si>
    <t>３１期中間</t>
  </si>
  <si>
    <t>３２期中間</t>
  </si>
  <si>
    <t>３３期中間</t>
  </si>
  <si>
    <t>３４期中間</t>
  </si>
  <si>
    <t>３５期中間</t>
  </si>
  <si>
    <t>３６期中間</t>
  </si>
  <si>
    <t>３７期中間</t>
  </si>
  <si>
    <t>３８期中間</t>
  </si>
  <si>
    <t>３９期中間</t>
  </si>
  <si>
    <t>４０期中間</t>
  </si>
  <si>
    <t>４１期中間</t>
  </si>
  <si>
    <t>４２期中間</t>
  </si>
  <si>
    <t>４３期中間</t>
  </si>
  <si>
    <t>４４期中間</t>
  </si>
  <si>
    <t>４５期中間</t>
  </si>
  <si>
    <t>４６期中間</t>
  </si>
  <si>
    <t>４７期中間</t>
  </si>
  <si>
    <t>４８期中間</t>
  </si>
  <si>
    <t>４９期中間</t>
  </si>
  <si>
    <t>５０期中間</t>
  </si>
  <si>
    <t>５１期中間</t>
  </si>
  <si>
    <t>５２期中間</t>
  </si>
  <si>
    <t>５３期中間</t>
  </si>
  <si>
    <t>５４期中間</t>
  </si>
  <si>
    <t>５５期中間</t>
    <phoneticPr fontId="2"/>
  </si>
  <si>
    <t>５６期中間</t>
    <rPh sb="2" eb="3">
      <t>キ</t>
    </rPh>
    <rPh sb="3" eb="5">
      <t>チュウカン</t>
    </rPh>
    <phoneticPr fontId="2"/>
  </si>
  <si>
    <t>５７期中間</t>
    <rPh sb="2" eb="3">
      <t>キ</t>
    </rPh>
    <rPh sb="3" eb="5">
      <t>チュウカン</t>
    </rPh>
    <phoneticPr fontId="2"/>
  </si>
  <si>
    <t>５８期中間</t>
    <rPh sb="2" eb="3">
      <t>キ</t>
    </rPh>
    <rPh sb="3" eb="5">
      <t>チュウカン</t>
    </rPh>
    <phoneticPr fontId="2"/>
  </si>
  <si>
    <t>５９期中間</t>
    <rPh sb="2" eb="3">
      <t>キ</t>
    </rPh>
    <rPh sb="3" eb="5">
      <t>チュウカン</t>
    </rPh>
    <phoneticPr fontId="2"/>
  </si>
  <si>
    <t>６０期中間</t>
    <rPh sb="2" eb="3">
      <t>キ</t>
    </rPh>
    <rPh sb="3" eb="5">
      <t>チュウカン</t>
    </rPh>
    <phoneticPr fontId="2"/>
  </si>
  <si>
    <t>６１期中間</t>
    <rPh sb="2" eb="3">
      <t>キ</t>
    </rPh>
    <rPh sb="3" eb="5">
      <t>チュウカン</t>
    </rPh>
    <phoneticPr fontId="2"/>
  </si>
  <si>
    <t>６２期中間</t>
    <rPh sb="2" eb="3">
      <t>キ</t>
    </rPh>
    <rPh sb="3" eb="5">
      <t>チュウカン</t>
    </rPh>
    <phoneticPr fontId="2"/>
  </si>
  <si>
    <t>６３期中間</t>
    <rPh sb="2" eb="3">
      <t>キ</t>
    </rPh>
    <rPh sb="3" eb="5">
      <t>チュウカン</t>
    </rPh>
    <phoneticPr fontId="2"/>
  </si>
  <si>
    <t>６４期中間</t>
    <rPh sb="2" eb="3">
      <t>キ</t>
    </rPh>
    <rPh sb="3" eb="5">
      <t>チュウカン</t>
    </rPh>
    <phoneticPr fontId="2"/>
  </si>
  <si>
    <t>６５期中間</t>
    <rPh sb="2" eb="3">
      <t>キ</t>
    </rPh>
    <rPh sb="3" eb="5">
      <t>チュウカン</t>
    </rPh>
    <phoneticPr fontId="2"/>
  </si>
  <si>
    <t>６６期中間</t>
    <rPh sb="2" eb="3">
      <t>キ</t>
    </rPh>
    <rPh sb="3" eb="5">
      <t>チュウカン</t>
    </rPh>
    <phoneticPr fontId="2"/>
  </si>
  <si>
    <t>６７期中間</t>
    <rPh sb="2" eb="3">
      <t>キ</t>
    </rPh>
    <rPh sb="3" eb="5">
      <t>チュウカン</t>
    </rPh>
    <phoneticPr fontId="2"/>
  </si>
  <si>
    <t>６８期中間</t>
    <rPh sb="2" eb="3">
      <t>キ</t>
    </rPh>
    <rPh sb="3" eb="5">
      <t>チュウカン</t>
    </rPh>
    <phoneticPr fontId="2"/>
  </si>
  <si>
    <t>６９期中間</t>
    <rPh sb="2" eb="3">
      <t>キ</t>
    </rPh>
    <rPh sb="3" eb="5">
      <t>チュウカン</t>
    </rPh>
    <phoneticPr fontId="2"/>
  </si>
  <si>
    <t>７０期中間</t>
    <rPh sb="2" eb="3">
      <t>キ</t>
    </rPh>
    <rPh sb="3" eb="5">
      <t>チュウカン</t>
    </rPh>
    <phoneticPr fontId="2"/>
  </si>
  <si>
    <t>７１期中間</t>
    <rPh sb="2" eb="3">
      <t>キ</t>
    </rPh>
    <rPh sb="3" eb="5">
      <t>チュウカン</t>
    </rPh>
    <phoneticPr fontId="2"/>
  </si>
  <si>
    <t>７２期中間</t>
    <rPh sb="2" eb="3">
      <t>キ</t>
    </rPh>
    <rPh sb="3" eb="5">
      <t>チュウカン</t>
    </rPh>
    <phoneticPr fontId="2"/>
  </si>
  <si>
    <t>７３期中間</t>
    <rPh sb="2" eb="3">
      <t>キ</t>
    </rPh>
    <rPh sb="3" eb="5">
      <t>チュウカン</t>
    </rPh>
    <phoneticPr fontId="2"/>
  </si>
  <si>
    <t>７４期中間</t>
    <rPh sb="2" eb="3">
      <t>キ</t>
    </rPh>
    <rPh sb="3" eb="5">
      <t>チュウカン</t>
    </rPh>
    <phoneticPr fontId="2"/>
  </si>
  <si>
    <t>非支配株主に帰属する純利益</t>
    <rPh sb="0" eb="1">
      <t>ヒ</t>
    </rPh>
    <rPh sb="1" eb="3">
      <t>シハイ</t>
    </rPh>
    <rPh sb="3" eb="5">
      <t>カブヌシ</t>
    </rPh>
    <rPh sb="6" eb="8">
      <t>キゾク</t>
    </rPh>
    <rPh sb="10" eb="11">
      <t>ジュン</t>
    </rPh>
    <rPh sb="11" eb="13">
      <t>リエキ</t>
    </rPh>
    <phoneticPr fontId="2"/>
  </si>
  <si>
    <t>※事業年度変更につき、存在しない</t>
    <rPh sb="1" eb="3">
      <t>ジギョウ</t>
    </rPh>
    <rPh sb="3" eb="5">
      <t>ネンド</t>
    </rPh>
    <rPh sb="5" eb="7">
      <t>ヘンコウ</t>
    </rPh>
    <rPh sb="11" eb="13">
      <t>ソンザイ</t>
    </rPh>
    <phoneticPr fontId="2"/>
  </si>
  <si>
    <t>■直近１０年の推移</t>
    <rPh sb="1" eb="3">
      <t>チョッキン</t>
    </rPh>
    <rPh sb="3" eb="6">
      <t>ジュウネン</t>
    </rPh>
    <rPh sb="7" eb="9">
      <t>スイイケイジョウ</t>
    </rPh>
    <phoneticPr fontId="2"/>
  </si>
  <si>
    <t>最高値</t>
    <rPh sb="0" eb="2">
      <t>サイコウ</t>
    </rPh>
    <rPh sb="2" eb="3">
      <t>チ</t>
    </rPh>
    <phoneticPr fontId="2"/>
  </si>
  <si>
    <t>①受注高</t>
    <rPh sb="1" eb="4">
      <t>ジュチュウダカ</t>
    </rPh>
    <phoneticPr fontId="2"/>
  </si>
  <si>
    <t>③完成工事総利益</t>
    <rPh sb="1" eb="3">
      <t>カンセイ</t>
    </rPh>
    <rPh sb="3" eb="5">
      <t>コウジ</t>
    </rPh>
    <rPh sb="5" eb="8">
      <t>ソウリエキ</t>
    </rPh>
    <phoneticPr fontId="2"/>
  </si>
  <si>
    <t>②完成工事高</t>
    <rPh sb="1" eb="3">
      <t>カンセイ</t>
    </rPh>
    <rPh sb="3" eb="5">
      <t>コウジ</t>
    </rPh>
    <rPh sb="5" eb="6">
      <t>ダカ</t>
    </rPh>
    <phoneticPr fontId="2"/>
  </si>
  <si>
    <t>④営業利益</t>
    <rPh sb="1" eb="3">
      <t>エイギョウ</t>
    </rPh>
    <rPh sb="3" eb="5">
      <t>リエキ</t>
    </rPh>
    <phoneticPr fontId="2"/>
  </si>
  <si>
    <t>⑤経常利益</t>
    <rPh sb="1" eb="3">
      <t>ケイジョウ</t>
    </rPh>
    <rPh sb="3" eb="5">
      <t>リエキ</t>
    </rPh>
    <phoneticPr fontId="2"/>
  </si>
  <si>
    <t>⑥当期純利益</t>
    <rPh sb="1" eb="3">
      <t>トウキ</t>
    </rPh>
    <rPh sb="3" eb="6">
      <t>ジュンリエキ</t>
    </rPh>
    <phoneticPr fontId="2"/>
  </si>
  <si>
    <r>
      <rPr>
        <b/>
        <sz val="20"/>
        <color rgb="FFFF0000"/>
        <rFont val="ＭＳ Ｐゴシック"/>
        <family val="3"/>
        <charset val="128"/>
        <scheme val="minor"/>
      </rPr>
      <t>中間期</t>
    </r>
    <r>
      <rPr>
        <b/>
        <sz val="20"/>
        <color theme="1"/>
        <rFont val="ＭＳ Ｐゴシック"/>
        <family val="3"/>
        <charset val="128"/>
        <scheme val="minor"/>
      </rPr>
      <t>　貸借対照表</t>
    </r>
    <rPh sb="0" eb="2">
      <t>チュウカン</t>
    </rPh>
    <rPh sb="2" eb="3">
      <t>キ</t>
    </rPh>
    <rPh sb="4" eb="9">
      <t>タイシャクタイショウヒョウ</t>
    </rPh>
    <phoneticPr fontId="2"/>
  </si>
  <si>
    <t>（2000/9月末）</t>
    <rPh sb="7" eb="8">
      <t>ツキ</t>
    </rPh>
    <rPh sb="8" eb="9">
      <t>マツ</t>
    </rPh>
    <phoneticPr fontId="2"/>
  </si>
  <si>
    <t>（2001/9月末）</t>
    <rPh sb="7" eb="8">
      <t>ツキ</t>
    </rPh>
    <rPh sb="8" eb="9">
      <t>マツ</t>
    </rPh>
    <phoneticPr fontId="2"/>
  </si>
  <si>
    <t>（2002/9月末）</t>
    <rPh sb="7" eb="8">
      <t>ツキ</t>
    </rPh>
    <rPh sb="8" eb="9">
      <t>マツ</t>
    </rPh>
    <phoneticPr fontId="2"/>
  </si>
  <si>
    <t>（2003/9月末）</t>
    <rPh sb="7" eb="8">
      <t>ツキ</t>
    </rPh>
    <rPh sb="8" eb="9">
      <t>マツ</t>
    </rPh>
    <phoneticPr fontId="2"/>
  </si>
  <si>
    <t>（2004/9月末）</t>
    <rPh sb="7" eb="8">
      <t>ツキ</t>
    </rPh>
    <rPh sb="8" eb="9">
      <t>マツ</t>
    </rPh>
    <phoneticPr fontId="2"/>
  </si>
  <si>
    <t>（2005/9月末）</t>
    <rPh sb="7" eb="8">
      <t>ツキ</t>
    </rPh>
    <rPh sb="8" eb="9">
      <t>マツ</t>
    </rPh>
    <phoneticPr fontId="2"/>
  </si>
  <si>
    <t>（2006/9月末）</t>
    <rPh sb="7" eb="8">
      <t>ツキ</t>
    </rPh>
    <rPh sb="8" eb="9">
      <t>マツ</t>
    </rPh>
    <phoneticPr fontId="2"/>
  </si>
  <si>
    <t>（2007/9月末）</t>
    <rPh sb="7" eb="8">
      <t>ツキ</t>
    </rPh>
    <rPh sb="8" eb="9">
      <t>マツ</t>
    </rPh>
    <phoneticPr fontId="2"/>
  </si>
  <si>
    <t>（2008/9月末）</t>
    <rPh sb="7" eb="8">
      <t>ツキ</t>
    </rPh>
    <rPh sb="8" eb="9">
      <t>マツ</t>
    </rPh>
    <phoneticPr fontId="2"/>
  </si>
  <si>
    <t>（2009/9月末）</t>
    <rPh sb="7" eb="8">
      <t>ツキ</t>
    </rPh>
    <rPh sb="8" eb="9">
      <t>マツ</t>
    </rPh>
    <phoneticPr fontId="2"/>
  </si>
  <si>
    <t>（2010/9月末）</t>
    <rPh sb="7" eb="8">
      <t>ツキ</t>
    </rPh>
    <rPh sb="8" eb="9">
      <t>マツ</t>
    </rPh>
    <phoneticPr fontId="2"/>
  </si>
  <si>
    <t>（2011/9月末）</t>
    <rPh sb="7" eb="8">
      <t>ツキ</t>
    </rPh>
    <rPh sb="8" eb="9">
      <t>マツ</t>
    </rPh>
    <phoneticPr fontId="2"/>
  </si>
  <si>
    <t>（2012/9月末）</t>
    <rPh sb="7" eb="8">
      <t>ツキ</t>
    </rPh>
    <rPh sb="8" eb="9">
      <t>マツ</t>
    </rPh>
    <phoneticPr fontId="2"/>
  </si>
  <si>
    <t>（2013/9月末）</t>
    <rPh sb="7" eb="8">
      <t>ツキ</t>
    </rPh>
    <rPh sb="8" eb="9">
      <t>マツ</t>
    </rPh>
    <phoneticPr fontId="2"/>
  </si>
  <si>
    <t>（2014/9月末）</t>
    <rPh sb="7" eb="8">
      <t>ツキ</t>
    </rPh>
    <rPh sb="8" eb="9">
      <t>マツ</t>
    </rPh>
    <phoneticPr fontId="2"/>
  </si>
  <si>
    <t>（2015/9月末）</t>
    <rPh sb="7" eb="8">
      <t>ツキ</t>
    </rPh>
    <rPh sb="8" eb="9">
      <t>マツ</t>
    </rPh>
    <phoneticPr fontId="2"/>
  </si>
  <si>
    <t>　少数株主持分</t>
    <rPh sb="1" eb="3">
      <t>ショウスウ</t>
    </rPh>
    <rPh sb="3" eb="5">
      <t>カブヌシ</t>
    </rPh>
    <rPh sb="5" eb="7">
      <t>モチブン</t>
    </rPh>
    <phoneticPr fontId="2"/>
  </si>
  <si>
    <t>■中間期過去最高計上期　（５６期以降）</t>
    <rPh sb="1" eb="3">
      <t>チュウカン</t>
    </rPh>
    <rPh sb="3" eb="4">
      <t>キ</t>
    </rPh>
    <rPh sb="4" eb="6">
      <t>カコ</t>
    </rPh>
    <rPh sb="6" eb="8">
      <t>サイコウ</t>
    </rPh>
    <rPh sb="8" eb="10">
      <t>ケイジョウ</t>
    </rPh>
    <rPh sb="9" eb="10">
      <t>シュウケイ</t>
    </rPh>
    <rPh sb="10" eb="11">
      <t>キ</t>
    </rPh>
    <rPh sb="15" eb="16">
      <t>キ</t>
    </rPh>
    <rPh sb="16" eb="18">
      <t>イコウ</t>
    </rPh>
    <phoneticPr fontId="2"/>
  </si>
  <si>
    <t>①利益剰余金</t>
    <rPh sb="1" eb="3">
      <t>リエキ</t>
    </rPh>
    <rPh sb="3" eb="6">
      <t>ジョウヨキン</t>
    </rPh>
    <phoneticPr fontId="2"/>
  </si>
  <si>
    <t>⑤別途積立金</t>
    <rPh sb="1" eb="3">
      <t>ベット</t>
    </rPh>
    <rPh sb="3" eb="5">
      <t>ツミタテ</t>
    </rPh>
    <rPh sb="5" eb="6">
      <t>キン</t>
    </rPh>
    <phoneticPr fontId="2"/>
  </si>
  <si>
    <t>②株主資本</t>
    <rPh sb="1" eb="3">
      <t>カブヌシ</t>
    </rPh>
    <rPh sb="3" eb="5">
      <t>シホン</t>
    </rPh>
    <phoneticPr fontId="2"/>
  </si>
  <si>
    <t>⑥自己資本比率</t>
    <rPh sb="1" eb="3">
      <t>ジコ</t>
    </rPh>
    <rPh sb="3" eb="5">
      <t>シホン</t>
    </rPh>
    <rPh sb="5" eb="7">
      <t>ヒリツ</t>
    </rPh>
    <phoneticPr fontId="2"/>
  </si>
  <si>
    <t>③有価証券評価差額金</t>
    <rPh sb="1" eb="3">
      <t>ユウカ</t>
    </rPh>
    <rPh sb="3" eb="5">
      <t>ショウケン</t>
    </rPh>
    <rPh sb="5" eb="7">
      <t>ヒョウカ</t>
    </rPh>
    <rPh sb="7" eb="9">
      <t>サガク</t>
    </rPh>
    <rPh sb="9" eb="10">
      <t>キン</t>
    </rPh>
    <phoneticPr fontId="2"/>
  </si>
  <si>
    <t>④純資産</t>
    <rPh sb="1" eb="4">
      <t>ジュンシサン</t>
    </rPh>
    <phoneticPr fontId="2"/>
  </si>
  <si>
    <t>（別紙）</t>
    <rPh sb="1" eb="3">
      <t>ベッシ</t>
    </rPh>
    <phoneticPr fontId="2"/>
  </si>
  <si>
    <t>６８期　工事損益悪化要因　（２０１３年３月期　１億円前後の赤字を計上した工事）</t>
    <rPh sb="2" eb="3">
      <t>キ</t>
    </rPh>
    <rPh sb="4" eb="6">
      <t>コウジ</t>
    </rPh>
    <rPh sb="6" eb="8">
      <t>ソンエキ</t>
    </rPh>
    <rPh sb="8" eb="10">
      <t>アッカ</t>
    </rPh>
    <rPh sb="10" eb="12">
      <t>ヨウイン</t>
    </rPh>
    <rPh sb="18" eb="19">
      <t>ネン</t>
    </rPh>
    <rPh sb="20" eb="21">
      <t>ツキ</t>
    </rPh>
    <rPh sb="21" eb="22">
      <t>キ</t>
    </rPh>
    <rPh sb="24" eb="25">
      <t>オク</t>
    </rPh>
    <rPh sb="25" eb="26">
      <t>エン</t>
    </rPh>
    <rPh sb="26" eb="28">
      <t>ゼンゴ</t>
    </rPh>
    <rPh sb="29" eb="31">
      <t>アカジ</t>
    </rPh>
    <rPh sb="32" eb="34">
      <t>ケイジョウ</t>
    </rPh>
    <rPh sb="36" eb="38">
      <t>コウジ</t>
    </rPh>
    <phoneticPr fontId="2"/>
  </si>
  <si>
    <t>支店名</t>
    <rPh sb="0" eb="3">
      <t>シテンメイ</t>
    </rPh>
    <phoneticPr fontId="2"/>
  </si>
  <si>
    <t>工事名</t>
    <rPh sb="0" eb="2">
      <t>コウジ</t>
    </rPh>
    <rPh sb="2" eb="3">
      <t>メイ</t>
    </rPh>
    <phoneticPr fontId="2"/>
  </si>
  <si>
    <t>請負額</t>
    <rPh sb="0" eb="2">
      <t>ウケオイ</t>
    </rPh>
    <rPh sb="2" eb="3">
      <t>ガク</t>
    </rPh>
    <phoneticPr fontId="2"/>
  </si>
  <si>
    <t>最終予想</t>
    <rPh sb="0" eb="2">
      <t>サイシュウ</t>
    </rPh>
    <rPh sb="2" eb="4">
      <t>ヨソウ</t>
    </rPh>
    <phoneticPr fontId="2"/>
  </si>
  <si>
    <t>累計</t>
    <rPh sb="0" eb="2">
      <t>ルイケイ</t>
    </rPh>
    <phoneticPr fontId="2"/>
  </si>
  <si>
    <t>68期数値</t>
    <rPh sb="2" eb="3">
      <t>キ</t>
    </rPh>
    <rPh sb="3" eb="5">
      <t>スウチ</t>
    </rPh>
    <phoneticPr fontId="2"/>
  </si>
  <si>
    <t>利益</t>
    <rPh sb="0" eb="2">
      <t>リエキ</t>
    </rPh>
    <phoneticPr fontId="2"/>
  </si>
  <si>
    <t>完工高</t>
    <rPh sb="0" eb="2">
      <t>カンコウ</t>
    </rPh>
    <rPh sb="2" eb="3">
      <t>ダカ</t>
    </rPh>
    <phoneticPr fontId="2"/>
  </si>
  <si>
    <t>損失引当済</t>
    <rPh sb="0" eb="2">
      <t>ソンシツ</t>
    </rPh>
    <rPh sb="2" eb="4">
      <t>ヒキアテ</t>
    </rPh>
    <rPh sb="4" eb="5">
      <t>スミ</t>
    </rPh>
    <phoneticPr fontId="2"/>
  </si>
  <si>
    <t>計</t>
    <rPh sb="0" eb="1">
      <t>ケイ</t>
    </rPh>
    <phoneticPr fontId="2"/>
  </si>
  <si>
    <t>損失引当</t>
    <rPh sb="0" eb="2">
      <t>ソンシツ</t>
    </rPh>
    <rPh sb="2" eb="4">
      <t>ヒキアテ</t>
    </rPh>
    <phoneticPr fontId="2"/>
  </si>
  <si>
    <t>建築工事</t>
    <rPh sb="0" eb="2">
      <t>ケンチク</t>
    </rPh>
    <rPh sb="2" eb="4">
      <t>コウジ</t>
    </rPh>
    <phoneticPr fontId="2"/>
  </si>
  <si>
    <t>国　内</t>
    <rPh sb="0" eb="1">
      <t>クニ</t>
    </rPh>
    <rPh sb="2" eb="3">
      <t>ナイ</t>
    </rPh>
    <phoneticPr fontId="2"/>
  </si>
  <si>
    <t>本　店</t>
    <rPh sb="0" eb="1">
      <t>ホン</t>
    </rPh>
    <rPh sb="2" eb="3">
      <t>テン</t>
    </rPh>
    <phoneticPr fontId="2"/>
  </si>
  <si>
    <t>西新宿販売用不動産評価損</t>
    <rPh sb="0" eb="3">
      <t>ニシシンジュク</t>
    </rPh>
    <rPh sb="3" eb="6">
      <t>ハンバイヨウ</t>
    </rPh>
    <rPh sb="6" eb="9">
      <t>フドウサン</t>
    </rPh>
    <rPh sb="9" eb="11">
      <t>ヒョウカ</t>
    </rPh>
    <rPh sb="11" eb="12">
      <t>ソン</t>
    </rPh>
    <phoneticPr fontId="2"/>
  </si>
  <si>
    <t>東　北</t>
    <rPh sb="0" eb="1">
      <t>ヒガシ</t>
    </rPh>
    <rPh sb="2" eb="3">
      <t>キタ</t>
    </rPh>
    <phoneticPr fontId="2"/>
  </si>
  <si>
    <t>第二百合ヶ丘苑</t>
    <rPh sb="0" eb="1">
      <t>ダイ</t>
    </rPh>
    <rPh sb="1" eb="2">
      <t>ニ</t>
    </rPh>
    <rPh sb="2" eb="6">
      <t>ユリガオカ</t>
    </rPh>
    <rPh sb="6" eb="7">
      <t>エン</t>
    </rPh>
    <phoneticPr fontId="2"/>
  </si>
  <si>
    <t>最終完成</t>
    <rPh sb="0" eb="2">
      <t>サイシュウ</t>
    </rPh>
    <rPh sb="2" eb="4">
      <t>カンセイ</t>
    </rPh>
    <phoneticPr fontId="2"/>
  </si>
  <si>
    <t>　※前期引当済分戻り額　67</t>
    <rPh sb="2" eb="3">
      <t>ゼン</t>
    </rPh>
    <rPh sb="3" eb="4">
      <t>キ</t>
    </rPh>
    <rPh sb="4" eb="6">
      <t>ヒキアテ</t>
    </rPh>
    <rPh sb="6" eb="7">
      <t>スミ</t>
    </rPh>
    <rPh sb="7" eb="8">
      <t>ブン</t>
    </rPh>
    <rPh sb="8" eb="9">
      <t>モド</t>
    </rPh>
    <rPh sb="10" eb="11">
      <t>ガク</t>
    </rPh>
    <phoneticPr fontId="2"/>
  </si>
  <si>
    <t>東京建築</t>
    <rPh sb="0" eb="2">
      <t>トウキョウ</t>
    </rPh>
    <rPh sb="2" eb="4">
      <t>ケンチク</t>
    </rPh>
    <phoneticPr fontId="2"/>
  </si>
  <si>
    <t>大井仙台坂（住友不動産）</t>
    <rPh sb="0" eb="2">
      <t>オオイ</t>
    </rPh>
    <rPh sb="2" eb="4">
      <t>センダイ</t>
    </rPh>
    <rPh sb="4" eb="5">
      <t>ザカ</t>
    </rPh>
    <rPh sb="6" eb="8">
      <t>スミトモ</t>
    </rPh>
    <rPh sb="8" eb="11">
      <t>フドウサン</t>
    </rPh>
    <phoneticPr fontId="2"/>
  </si>
  <si>
    <t>　※前期引当済分戻り額　76</t>
    <rPh sb="2" eb="3">
      <t>ゼン</t>
    </rPh>
    <rPh sb="3" eb="4">
      <t>キ</t>
    </rPh>
    <rPh sb="4" eb="6">
      <t>ヒキアテ</t>
    </rPh>
    <rPh sb="6" eb="7">
      <t>スミ</t>
    </rPh>
    <rPh sb="7" eb="8">
      <t>ブン</t>
    </rPh>
    <rPh sb="8" eb="9">
      <t>モド</t>
    </rPh>
    <rPh sb="10" eb="11">
      <t>ガク</t>
    </rPh>
    <phoneticPr fontId="2"/>
  </si>
  <si>
    <t>仲町台（住友不動産）</t>
    <rPh sb="0" eb="3">
      <t>ナカマチダイ</t>
    </rPh>
    <rPh sb="4" eb="6">
      <t>スミトモ</t>
    </rPh>
    <rPh sb="6" eb="9">
      <t>フドウサン</t>
    </rPh>
    <phoneticPr fontId="2"/>
  </si>
  <si>
    <t>　※前期引当済分戻り額　40</t>
    <rPh sb="2" eb="3">
      <t>ゼン</t>
    </rPh>
    <rPh sb="3" eb="4">
      <t>キ</t>
    </rPh>
    <rPh sb="4" eb="6">
      <t>ヒキアテ</t>
    </rPh>
    <rPh sb="6" eb="7">
      <t>スミ</t>
    </rPh>
    <rPh sb="7" eb="8">
      <t>ブン</t>
    </rPh>
    <rPh sb="8" eb="9">
      <t>モド</t>
    </rPh>
    <rPh sb="10" eb="11">
      <t>ガク</t>
    </rPh>
    <phoneticPr fontId="2"/>
  </si>
  <si>
    <t>船堀三丁目（野村・三菱商事）</t>
    <rPh sb="0" eb="2">
      <t>フナボリ</t>
    </rPh>
    <rPh sb="2" eb="5">
      <t>サンチョウメ</t>
    </rPh>
    <rPh sb="6" eb="8">
      <t>ノムラ</t>
    </rPh>
    <rPh sb="9" eb="11">
      <t>ミツビシ</t>
    </rPh>
    <rPh sb="11" eb="13">
      <t>ショウジ</t>
    </rPh>
    <phoneticPr fontId="2"/>
  </si>
  <si>
    <t>　※前期引当済分戻り額　81</t>
    <rPh sb="2" eb="3">
      <t>ゼン</t>
    </rPh>
    <rPh sb="3" eb="4">
      <t>キ</t>
    </rPh>
    <rPh sb="4" eb="6">
      <t>ヒキアテ</t>
    </rPh>
    <rPh sb="6" eb="7">
      <t>スミ</t>
    </rPh>
    <rPh sb="7" eb="8">
      <t>ブン</t>
    </rPh>
    <rPh sb="8" eb="9">
      <t>モド</t>
    </rPh>
    <rPh sb="10" eb="11">
      <t>ガク</t>
    </rPh>
    <phoneticPr fontId="2"/>
  </si>
  <si>
    <t>サイゼリヤ　新カミッサリー建設</t>
    <rPh sb="6" eb="7">
      <t>シン</t>
    </rPh>
    <rPh sb="13" eb="15">
      <t>ケンセツ</t>
    </rPh>
    <phoneticPr fontId="2"/>
  </si>
  <si>
    <t>豊岡町計画（ナイス）</t>
    <rPh sb="0" eb="2">
      <t>トヨオカ</t>
    </rPh>
    <rPh sb="2" eb="3">
      <t>チョウ</t>
    </rPh>
    <rPh sb="3" eb="5">
      <t>ケイカク</t>
    </rPh>
    <phoneticPr fontId="2"/>
  </si>
  <si>
    <t>吉祥寺御殿山（住友商事・野村）</t>
    <rPh sb="0" eb="3">
      <t>キチジョウジ</t>
    </rPh>
    <rPh sb="3" eb="6">
      <t>ゴテンヤマ</t>
    </rPh>
    <rPh sb="7" eb="9">
      <t>スミトモ</t>
    </rPh>
    <rPh sb="9" eb="11">
      <t>ショウジ</t>
    </rPh>
    <rPh sb="12" eb="14">
      <t>ノムラ</t>
    </rPh>
    <phoneticPr fontId="2"/>
  </si>
  <si>
    <t>進行</t>
    <rPh sb="0" eb="2">
      <t>シンコウ</t>
    </rPh>
    <phoneticPr fontId="2"/>
  </si>
  <si>
    <t>館ヶ丘団地耐震改修</t>
    <rPh sb="0" eb="1">
      <t>タテ</t>
    </rPh>
    <rPh sb="2" eb="3">
      <t>オカ</t>
    </rPh>
    <rPh sb="3" eb="5">
      <t>ダンチ</t>
    </rPh>
    <rPh sb="5" eb="7">
      <t>タイシン</t>
    </rPh>
    <rPh sb="7" eb="9">
      <t>カイシュウ</t>
    </rPh>
    <phoneticPr fontId="2"/>
  </si>
  <si>
    <t>　※前期引当済分戻り額　296</t>
    <rPh sb="2" eb="3">
      <t>ゼン</t>
    </rPh>
    <rPh sb="3" eb="4">
      <t>キ</t>
    </rPh>
    <rPh sb="4" eb="6">
      <t>ヒキアテ</t>
    </rPh>
    <rPh sb="6" eb="7">
      <t>スミ</t>
    </rPh>
    <rPh sb="7" eb="8">
      <t>ブン</t>
    </rPh>
    <rPh sb="8" eb="9">
      <t>モド</t>
    </rPh>
    <rPh sb="10" eb="11">
      <t>ガク</t>
    </rPh>
    <phoneticPr fontId="2"/>
  </si>
  <si>
    <t>茅場町計画（三菱地所）</t>
    <rPh sb="0" eb="3">
      <t>カヤバチョウ</t>
    </rPh>
    <rPh sb="3" eb="5">
      <t>ケイカク</t>
    </rPh>
    <rPh sb="6" eb="11">
      <t>ミツビシジショョ</t>
    </rPh>
    <phoneticPr fontId="2"/>
  </si>
  <si>
    <t>南大沢団地自走式駐車場</t>
    <rPh sb="0" eb="3">
      <t>ミナミオオサワ</t>
    </rPh>
    <rPh sb="3" eb="5">
      <t>ダンチ</t>
    </rPh>
    <rPh sb="5" eb="8">
      <t>ジソウシキ</t>
    </rPh>
    <rPh sb="8" eb="11">
      <t>チュウシャジョウ</t>
    </rPh>
    <phoneticPr fontId="2"/>
  </si>
  <si>
    <t>南麻布４丁目（三菱地所）</t>
    <rPh sb="0" eb="3">
      <t>ミナミアザブ</t>
    </rPh>
    <rPh sb="4" eb="6">
      <t>チョウメ</t>
    </rPh>
    <rPh sb="7" eb="9">
      <t>ミツビシ</t>
    </rPh>
    <rPh sb="9" eb="11">
      <t>ジショ</t>
    </rPh>
    <phoneticPr fontId="2"/>
  </si>
  <si>
    <t>浦和高砂（住友不動産）</t>
    <rPh sb="0" eb="2">
      <t>ウラワ</t>
    </rPh>
    <rPh sb="2" eb="4">
      <t>タカサゴ</t>
    </rPh>
    <rPh sb="5" eb="7">
      <t>スミトモ</t>
    </rPh>
    <rPh sb="7" eb="10">
      <t>フドウサン</t>
    </rPh>
    <phoneticPr fontId="2"/>
  </si>
  <si>
    <t>パークハウス一之江（三菱地所）</t>
    <rPh sb="6" eb="9">
      <t>イチノエ</t>
    </rPh>
    <rPh sb="10" eb="12">
      <t>ミツビシ</t>
    </rPh>
    <rPh sb="12" eb="14">
      <t>ジショ</t>
    </rPh>
    <phoneticPr fontId="2"/>
  </si>
  <si>
    <t>幕張ベイタウン（三菱地所・住不）</t>
    <rPh sb="0" eb="2">
      <t>マクハリ</t>
    </rPh>
    <rPh sb="8" eb="10">
      <t>ミツビシ</t>
    </rPh>
    <rPh sb="10" eb="12">
      <t>ジショ</t>
    </rPh>
    <rPh sb="13" eb="15">
      <t>スミフ</t>
    </rPh>
    <phoneticPr fontId="2"/>
  </si>
  <si>
    <t>中　部</t>
    <rPh sb="0" eb="1">
      <t>チュウ</t>
    </rPh>
    <rPh sb="2" eb="3">
      <t>ブ</t>
    </rPh>
    <phoneticPr fontId="2"/>
  </si>
  <si>
    <t>東静岡地区新都市拠点整備事業</t>
    <rPh sb="0" eb="1">
      <t>ヒガシ</t>
    </rPh>
    <rPh sb="1" eb="3">
      <t>シズオカ</t>
    </rPh>
    <rPh sb="3" eb="5">
      <t>チク</t>
    </rPh>
    <rPh sb="5" eb="8">
      <t>シントシ</t>
    </rPh>
    <rPh sb="8" eb="10">
      <t>キョテン</t>
    </rPh>
    <rPh sb="10" eb="12">
      <t>セイビ</t>
    </rPh>
    <rPh sb="12" eb="14">
      <t>ジギョウ</t>
    </rPh>
    <phoneticPr fontId="2"/>
  </si>
  <si>
    <t>ブラウド池下サウスヒル（野村）</t>
    <rPh sb="4" eb="6">
      <t>イケシタ</t>
    </rPh>
    <rPh sb="12" eb="14">
      <t>ノムラ</t>
    </rPh>
    <phoneticPr fontId="2"/>
  </si>
  <si>
    <t>関　西</t>
    <rPh sb="0" eb="1">
      <t>カン</t>
    </rPh>
    <rPh sb="2" eb="3">
      <t>ニシ</t>
    </rPh>
    <phoneticPr fontId="2"/>
  </si>
  <si>
    <t>武田薬品工業㈱光工場</t>
    <rPh sb="0" eb="2">
      <t>タケダ</t>
    </rPh>
    <rPh sb="2" eb="4">
      <t>ヤクヒン</t>
    </rPh>
    <rPh sb="4" eb="6">
      <t>コウギョウ</t>
    </rPh>
    <rPh sb="7" eb="8">
      <t>ヒカリ</t>
    </rPh>
    <rPh sb="8" eb="10">
      <t>コウジョウ</t>
    </rPh>
    <phoneticPr fontId="2"/>
  </si>
  <si>
    <t>　※前期引当済分戻り額　480</t>
    <rPh sb="2" eb="3">
      <t>ゼン</t>
    </rPh>
    <rPh sb="3" eb="4">
      <t>キ</t>
    </rPh>
    <rPh sb="4" eb="6">
      <t>ヒキアテ</t>
    </rPh>
    <rPh sb="6" eb="7">
      <t>スミ</t>
    </rPh>
    <rPh sb="7" eb="8">
      <t>ブン</t>
    </rPh>
    <rPh sb="8" eb="9">
      <t>モド</t>
    </rPh>
    <rPh sb="10" eb="11">
      <t>ガク</t>
    </rPh>
    <phoneticPr fontId="2"/>
  </si>
  <si>
    <t>香川県立中央病院新築工事</t>
    <rPh sb="0" eb="2">
      <t>カガワ</t>
    </rPh>
    <rPh sb="2" eb="4">
      <t>ケンリツ</t>
    </rPh>
    <rPh sb="4" eb="6">
      <t>チュウオウ</t>
    </rPh>
    <rPh sb="6" eb="8">
      <t>ビョウイン</t>
    </rPh>
    <rPh sb="8" eb="12">
      <t>シンチクコウジ</t>
    </rPh>
    <phoneticPr fontId="2"/>
  </si>
  <si>
    <r>
      <t>　※前期引当済分戻り額　39＋ＪＶサブ分引当　</t>
    </r>
    <r>
      <rPr>
        <sz val="11"/>
        <color rgb="FFFF0000"/>
        <rFont val="ＭＳ Ｐゴシック"/>
        <family val="3"/>
        <charset val="128"/>
        <scheme val="minor"/>
      </rPr>
      <t>▲401</t>
    </r>
    <rPh sb="2" eb="3">
      <t>ゼン</t>
    </rPh>
    <rPh sb="3" eb="4">
      <t>キ</t>
    </rPh>
    <rPh sb="4" eb="6">
      <t>ヒキアテ</t>
    </rPh>
    <rPh sb="6" eb="7">
      <t>スミ</t>
    </rPh>
    <rPh sb="7" eb="8">
      <t>ブン</t>
    </rPh>
    <rPh sb="8" eb="9">
      <t>モド</t>
    </rPh>
    <rPh sb="10" eb="11">
      <t>ガク</t>
    </rPh>
    <rPh sb="19" eb="20">
      <t>ブン</t>
    </rPh>
    <rPh sb="20" eb="22">
      <t>ヒキアテ</t>
    </rPh>
    <phoneticPr fontId="2"/>
  </si>
  <si>
    <t>国内建築工事　計</t>
    <rPh sb="0" eb="2">
      <t>コクナイ</t>
    </rPh>
    <rPh sb="2" eb="4">
      <t>ケンチク</t>
    </rPh>
    <rPh sb="4" eb="6">
      <t>コウジ</t>
    </rPh>
    <rPh sb="7" eb="8">
      <t>ケイ</t>
    </rPh>
    <phoneticPr fontId="2"/>
  </si>
  <si>
    <t>海　外</t>
    <rPh sb="0" eb="1">
      <t>ウミ</t>
    </rPh>
    <rPh sb="2" eb="3">
      <t>ソト</t>
    </rPh>
    <phoneticPr fontId="2"/>
  </si>
  <si>
    <t>香　港</t>
    <rPh sb="0" eb="1">
      <t>カオル</t>
    </rPh>
    <rPh sb="2" eb="3">
      <t>コウ</t>
    </rPh>
    <phoneticPr fontId="2"/>
  </si>
  <si>
    <t>香港国際空港東ホール店舗</t>
    <rPh sb="0" eb="2">
      <t>ホンコン</t>
    </rPh>
    <rPh sb="2" eb="4">
      <t>コクサイ</t>
    </rPh>
    <rPh sb="4" eb="6">
      <t>クウコウ</t>
    </rPh>
    <rPh sb="6" eb="7">
      <t>ヒガシ</t>
    </rPh>
    <rPh sb="10" eb="12">
      <t>テンポ</t>
    </rPh>
    <phoneticPr fontId="2"/>
  </si>
  <si>
    <t>海外建築工事　計</t>
    <rPh sb="0" eb="2">
      <t>カイガイ</t>
    </rPh>
    <rPh sb="2" eb="4">
      <t>ケンチク</t>
    </rPh>
    <rPh sb="4" eb="6">
      <t>コウジ</t>
    </rPh>
    <rPh sb="7" eb="8">
      <t>ケイ</t>
    </rPh>
    <phoneticPr fontId="2"/>
  </si>
  <si>
    <t>建築工事　計</t>
    <rPh sb="0" eb="2">
      <t>ケンチク</t>
    </rPh>
    <rPh sb="2" eb="4">
      <t>コウジ</t>
    </rPh>
    <rPh sb="5" eb="6">
      <t>ケイ</t>
    </rPh>
    <phoneticPr fontId="2"/>
  </si>
  <si>
    <t>土木工事</t>
    <rPh sb="0" eb="2">
      <t>ドボク</t>
    </rPh>
    <rPh sb="2" eb="4">
      <t>コウジ</t>
    </rPh>
    <phoneticPr fontId="2"/>
  </si>
  <si>
    <t>豊実発電所改修工事</t>
    <rPh sb="0" eb="2">
      <t>トヨミ</t>
    </rPh>
    <rPh sb="2" eb="4">
      <t>ハツデン</t>
    </rPh>
    <rPh sb="4" eb="5">
      <t>ショ</t>
    </rPh>
    <rPh sb="5" eb="7">
      <t>カイシュウ</t>
    </rPh>
    <rPh sb="7" eb="9">
      <t>コウジ</t>
    </rPh>
    <phoneticPr fontId="2"/>
  </si>
  <si>
    <t>北海道新幹線、奥内高架橋</t>
    <rPh sb="0" eb="3">
      <t>ホッカイドウ</t>
    </rPh>
    <rPh sb="3" eb="6">
      <t>シンカンセン</t>
    </rPh>
    <rPh sb="7" eb="9">
      <t>オクナイ</t>
    </rPh>
    <rPh sb="9" eb="12">
      <t>コウカキョウ</t>
    </rPh>
    <phoneticPr fontId="2"/>
  </si>
  <si>
    <t>東京土木</t>
    <rPh sb="0" eb="2">
      <t>トウキョウ</t>
    </rPh>
    <rPh sb="2" eb="4">
      <t>ドボク</t>
    </rPh>
    <phoneticPr fontId="2"/>
  </si>
  <si>
    <t>ＹＫ１３工区（新横浜）</t>
    <rPh sb="4" eb="6">
      <t>コウク</t>
    </rPh>
    <rPh sb="7" eb="10">
      <t>シンヨコハマ</t>
    </rPh>
    <phoneticPr fontId="2"/>
  </si>
  <si>
    <t>黒目川黒目橋調整池工事</t>
    <rPh sb="0" eb="2">
      <t>クロメ</t>
    </rPh>
    <rPh sb="2" eb="3">
      <t>ガワ</t>
    </rPh>
    <rPh sb="3" eb="5">
      <t>クロメ</t>
    </rPh>
    <rPh sb="5" eb="6">
      <t>バシ</t>
    </rPh>
    <rPh sb="6" eb="9">
      <t>チョウセイチ</t>
    </rPh>
    <rPh sb="9" eb="11">
      <t>コウジ</t>
    </rPh>
    <phoneticPr fontId="2"/>
  </si>
  <si>
    <t>森ケ崎水再生センター</t>
    <rPh sb="0" eb="3">
      <t>モリガサキ</t>
    </rPh>
    <rPh sb="3" eb="4">
      <t>ミズ</t>
    </rPh>
    <rPh sb="4" eb="6">
      <t>サイセイ</t>
    </rPh>
    <phoneticPr fontId="2"/>
  </si>
  <si>
    <t>舞鶴若狭自動車道　三方インター</t>
    <rPh sb="0" eb="2">
      <t>マイヅル</t>
    </rPh>
    <rPh sb="2" eb="4">
      <t>ワカサ</t>
    </rPh>
    <rPh sb="4" eb="7">
      <t>ジドウシャ</t>
    </rPh>
    <rPh sb="7" eb="8">
      <t>ドウ</t>
    </rPh>
    <rPh sb="9" eb="11">
      <t>ミカタ</t>
    </rPh>
    <phoneticPr fontId="2"/>
  </si>
  <si>
    <t>東伊豆風力発電所新設工事</t>
    <rPh sb="0" eb="3">
      <t>ヒガシイズ</t>
    </rPh>
    <rPh sb="3" eb="5">
      <t>フウリョク</t>
    </rPh>
    <rPh sb="5" eb="7">
      <t>ハツデン</t>
    </rPh>
    <rPh sb="7" eb="8">
      <t>ショ</t>
    </rPh>
    <rPh sb="8" eb="10">
      <t>シンセツ</t>
    </rPh>
    <rPh sb="10" eb="12">
      <t>コウジ</t>
    </rPh>
    <phoneticPr fontId="2"/>
  </si>
  <si>
    <t>九　州</t>
    <rPh sb="0" eb="1">
      <t>キュウ</t>
    </rPh>
    <rPh sb="2" eb="3">
      <t>シュウ</t>
    </rPh>
    <phoneticPr fontId="2"/>
  </si>
  <si>
    <t>道路改築工事（網野子トンネル）</t>
    <rPh sb="0" eb="2">
      <t>ドウロ</t>
    </rPh>
    <rPh sb="2" eb="4">
      <t>カイチク</t>
    </rPh>
    <rPh sb="4" eb="6">
      <t>コウジ</t>
    </rPh>
    <rPh sb="7" eb="10">
      <t>アミノコ</t>
    </rPh>
    <phoneticPr fontId="2"/>
  </si>
  <si>
    <t>　※前期引当済分戻り額　39</t>
    <rPh sb="2" eb="3">
      <t>ゼン</t>
    </rPh>
    <rPh sb="3" eb="4">
      <t>キ</t>
    </rPh>
    <rPh sb="4" eb="6">
      <t>ヒキアテ</t>
    </rPh>
    <rPh sb="6" eb="7">
      <t>スミ</t>
    </rPh>
    <rPh sb="7" eb="8">
      <t>ブン</t>
    </rPh>
    <rPh sb="8" eb="9">
      <t>モド</t>
    </rPh>
    <rPh sb="10" eb="11">
      <t>ガク</t>
    </rPh>
    <phoneticPr fontId="2"/>
  </si>
  <si>
    <t>国内土木工事　計</t>
    <rPh sb="0" eb="2">
      <t>コクナイ</t>
    </rPh>
    <rPh sb="2" eb="4">
      <t>ドボク</t>
    </rPh>
    <rPh sb="4" eb="6">
      <t>コウジ</t>
    </rPh>
    <rPh sb="7" eb="8">
      <t>ケイ</t>
    </rPh>
    <phoneticPr fontId="2"/>
  </si>
  <si>
    <t>チュンワン排水路トンネル工事</t>
    <rPh sb="5" eb="8">
      <t>ハイスイロ</t>
    </rPh>
    <rPh sb="12" eb="14">
      <t>コウジ</t>
    </rPh>
    <phoneticPr fontId="2"/>
  </si>
  <si>
    <t>　※前期引当済分戻り額　184</t>
    <rPh sb="2" eb="3">
      <t>ゼン</t>
    </rPh>
    <rPh sb="3" eb="4">
      <t>キ</t>
    </rPh>
    <rPh sb="4" eb="6">
      <t>ヒキアテ</t>
    </rPh>
    <rPh sb="6" eb="7">
      <t>スミ</t>
    </rPh>
    <rPh sb="7" eb="8">
      <t>ブン</t>
    </rPh>
    <rPh sb="8" eb="9">
      <t>モド</t>
    </rPh>
    <rPh sb="10" eb="11">
      <t>ガク</t>
    </rPh>
    <phoneticPr fontId="2"/>
  </si>
  <si>
    <t>ＭＴＲ８２３Ａ工区</t>
    <rPh sb="7" eb="9">
      <t>コウク</t>
    </rPh>
    <phoneticPr fontId="2"/>
  </si>
  <si>
    <t>ストーンカッターズ斜張橋工事</t>
    <rPh sb="9" eb="12">
      <t>シャチョウキョウ</t>
    </rPh>
    <rPh sb="12" eb="14">
      <t>コウジ</t>
    </rPh>
    <phoneticPr fontId="2"/>
  </si>
  <si>
    <t>一括修正</t>
    <rPh sb="0" eb="2">
      <t>イッカツ</t>
    </rPh>
    <rPh sb="2" eb="4">
      <t>シュウセイ</t>
    </rPh>
    <phoneticPr fontId="2"/>
  </si>
  <si>
    <t xml:space="preserve">  ※訴訟費用追加原価計上</t>
    <rPh sb="3" eb="5">
      <t>ソショウ</t>
    </rPh>
    <rPh sb="5" eb="7">
      <t>ヒヨウ</t>
    </rPh>
    <rPh sb="7" eb="9">
      <t>ツイカ</t>
    </rPh>
    <rPh sb="9" eb="11">
      <t>ゲンカ</t>
    </rPh>
    <rPh sb="11" eb="13">
      <t>ケイジョウ</t>
    </rPh>
    <phoneticPr fontId="2"/>
  </si>
  <si>
    <t>Ｔ３道路新設</t>
    <rPh sb="2" eb="4">
      <t>ドウロ</t>
    </rPh>
    <rPh sb="4" eb="6">
      <t>シンセツ</t>
    </rPh>
    <phoneticPr fontId="2"/>
  </si>
  <si>
    <t xml:space="preserve">  ※提示額まで請負減額、訴訟費用追加原価計上</t>
    <rPh sb="3" eb="5">
      <t>テイジ</t>
    </rPh>
    <rPh sb="5" eb="6">
      <t>ガク</t>
    </rPh>
    <rPh sb="8" eb="10">
      <t>ウケオイ</t>
    </rPh>
    <rPh sb="10" eb="12">
      <t>ゲンガク</t>
    </rPh>
    <rPh sb="13" eb="15">
      <t>ソショウ</t>
    </rPh>
    <rPh sb="15" eb="17">
      <t>ヒヨウ</t>
    </rPh>
    <rPh sb="17" eb="19">
      <t>ツイカ</t>
    </rPh>
    <rPh sb="19" eb="21">
      <t>ゲンカ</t>
    </rPh>
    <rPh sb="21" eb="23">
      <t>ケイジョウ</t>
    </rPh>
    <phoneticPr fontId="2"/>
  </si>
  <si>
    <t>台湾地下鉄松山線</t>
    <rPh sb="0" eb="2">
      <t>タイワン</t>
    </rPh>
    <rPh sb="2" eb="5">
      <t>チカテツ</t>
    </rPh>
    <rPh sb="5" eb="7">
      <t>マツヤマ</t>
    </rPh>
    <rPh sb="7" eb="8">
      <t>セン</t>
    </rPh>
    <phoneticPr fontId="2"/>
  </si>
  <si>
    <t>アッパーコトマレ水力発電</t>
    <rPh sb="8" eb="10">
      <t>スイリョク</t>
    </rPh>
    <rPh sb="10" eb="12">
      <t>ハツデン</t>
    </rPh>
    <phoneticPr fontId="2"/>
  </si>
  <si>
    <t>　※前期引当済分戻り額　54</t>
    <rPh sb="2" eb="3">
      <t>ゼン</t>
    </rPh>
    <rPh sb="3" eb="4">
      <t>キ</t>
    </rPh>
    <rPh sb="4" eb="6">
      <t>ヒキアテ</t>
    </rPh>
    <rPh sb="6" eb="7">
      <t>スミ</t>
    </rPh>
    <rPh sb="7" eb="8">
      <t>ブン</t>
    </rPh>
    <rPh sb="8" eb="9">
      <t>モド</t>
    </rPh>
    <rPh sb="10" eb="11">
      <t>ガク</t>
    </rPh>
    <phoneticPr fontId="2"/>
  </si>
  <si>
    <t>海外土木工事　計</t>
    <rPh sb="0" eb="2">
      <t>カイガイ</t>
    </rPh>
    <rPh sb="2" eb="4">
      <t>ドボク</t>
    </rPh>
    <rPh sb="4" eb="6">
      <t>コウジ</t>
    </rPh>
    <rPh sb="7" eb="8">
      <t>ケイ</t>
    </rPh>
    <phoneticPr fontId="2"/>
  </si>
  <si>
    <t>土木工事　計</t>
    <rPh sb="0" eb="2">
      <t>ドボク</t>
    </rPh>
    <rPh sb="2" eb="4">
      <t>コウジ</t>
    </rPh>
    <rPh sb="5" eb="6">
      <t>ケイ</t>
    </rPh>
    <phoneticPr fontId="2"/>
  </si>
  <si>
    <t>合　　　　計</t>
    <rPh sb="0" eb="1">
      <t>ゴウ</t>
    </rPh>
    <rPh sb="5" eb="6">
      <t>ケイ</t>
    </rPh>
    <phoneticPr fontId="2"/>
  </si>
  <si>
    <t>事業利益（単位：百万円）</t>
    <rPh sb="0" eb="2">
      <t>ジギョウ</t>
    </rPh>
    <rPh sb="2" eb="4">
      <t>リエキ</t>
    </rPh>
    <phoneticPr fontId="2"/>
  </si>
  <si>
    <t>契約負債</t>
    <rPh sb="0" eb="4">
      <t>ケイヤクフサイ</t>
    </rPh>
    <phoneticPr fontId="2"/>
  </si>
  <si>
    <t>○ 日本風力開発㈱</t>
    <rPh sb="2" eb="6">
      <t>ニホンフウリョク</t>
    </rPh>
    <rPh sb="6" eb="8">
      <t>カイハツ</t>
    </rPh>
    <phoneticPr fontId="30"/>
  </si>
  <si>
    <t>ROE（単位：％）</t>
    <phoneticPr fontId="2"/>
  </si>
  <si>
    <t>ROE（普通株式）（単位：％）</t>
    <rPh sb="4" eb="8">
      <t>フツウカブシキ</t>
    </rPh>
    <phoneticPr fontId="2"/>
  </si>
  <si>
    <t>○ ㈱前田製作所</t>
    <rPh sb="3" eb="8">
      <t>マエダセイサクジョ</t>
    </rPh>
    <phoneticPr fontId="30"/>
  </si>
  <si>
    <t>2026年3月期　中間決算</t>
    <rPh sb="4" eb="5">
      <t>ネン</t>
    </rPh>
    <rPh sb="6" eb="7">
      <t>ガツ</t>
    </rPh>
    <rPh sb="7" eb="8">
      <t>キ</t>
    </rPh>
    <rPh sb="9" eb="11">
      <t>チュウカン</t>
    </rPh>
    <rPh sb="11" eb="13">
      <t>ケッサン</t>
    </rPh>
    <phoneticPr fontId="31"/>
  </si>
  <si>
    <t>繰延資産</t>
  </si>
  <si>
    <t>2020年3月：前田道路の子会社化、2021年10月：HD設立</t>
    <rPh sb="4" eb="5">
      <t>ネン</t>
    </rPh>
    <rPh sb="6" eb="7">
      <t>ガツ</t>
    </rPh>
    <rPh sb="8" eb="12">
      <t>マエダドウロ</t>
    </rPh>
    <rPh sb="13" eb="16">
      <t>コガイシャ</t>
    </rPh>
    <rPh sb="16" eb="17">
      <t>カ</t>
    </rPh>
    <rPh sb="22" eb="23">
      <t>ネン</t>
    </rPh>
    <rPh sb="25" eb="26">
      <t>ガツ</t>
    </rPh>
    <rPh sb="29" eb="31">
      <t>セツリツ</t>
    </rPh>
    <phoneticPr fontId="2"/>
  </si>
  <si>
    <t>持分法投資損失</t>
  </si>
  <si>
    <t>2024年9月期以降は経営管理区分見直し後の数値で記載しております。</t>
    <rPh sb="4" eb="5">
      <t>ネン</t>
    </rPh>
    <rPh sb="6" eb="8">
      <t>ガツキ</t>
    </rPh>
    <rPh sb="8" eb="10">
      <t>イコウ</t>
    </rPh>
    <rPh sb="20" eb="21">
      <t>ゴ</t>
    </rPh>
    <rPh sb="22" eb="24">
      <t>スウチ</t>
    </rPh>
    <rPh sb="25" eb="27">
      <t>キサイ</t>
    </rPh>
    <phoneticPr fontId="2"/>
  </si>
  <si>
    <t>⑥ その他</t>
    <rPh sb="4" eb="5">
      <t>タ</t>
    </rPh>
    <phoneticPr fontId="30"/>
  </si>
  <si>
    <t>⑦ 調整額</t>
    <rPh sb="2" eb="4">
      <t>チョウセイ</t>
    </rPh>
    <rPh sb="4" eb="5">
      <t>ガク</t>
    </rPh>
    <phoneticPr fontId="30"/>
  </si>
  <si>
    <t>⑧ 計</t>
    <rPh sb="2" eb="3">
      <t>ケイ</t>
    </rPh>
    <phoneticPr fontId="30"/>
  </si>
  <si>
    <t>⑦調整額はセグメント間取引（例：連結グループ間における工事の受発注等）を控除しております。</t>
    <rPh sb="30" eb="33">
      <t>ジュハッチュウ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</si>
</sst>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%"/>
    <numFmt numFmtId="177" formatCode="#,##0.0;[Red]\-#,##0.0"/>
    <numFmt numFmtId="178" formatCode="#,##0_ "/>
    <numFmt numFmtId="179" formatCode="0.0"/>
    <numFmt numFmtId="180" formatCode="#,##0.0_ "/>
    <numFmt numFmtId="181" formatCode="#,##0;&quot;△ &quot;#,##0"/>
    <numFmt numFmtId="182" formatCode="0.0_);[Red]\(0.0\)"/>
  </numFmts>
  <fonts count="4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20"/>
      <color rgb="FFFF000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4"/>
      <name val="ＭＳ Ｐゴシック"/>
      <family val="2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i/>
      <sz val="14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1"/>
      <name val="明朝"/>
      <family val="1"/>
      <charset val="128"/>
    </font>
    <font>
      <sz val="6"/>
      <name val="明朝"/>
      <family val="1"/>
      <charset val="128"/>
    </font>
    <font>
      <sz val="6"/>
      <name val="ＭＳ Ｐゴシック"/>
      <family val="3"/>
      <charset val="128"/>
    </font>
    <font>
      <sz val="9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9"/>
      <name val="Meiryo UI"/>
      <family val="3"/>
      <charset val="128"/>
    </font>
    <font>
      <sz val="36"/>
      <name val="Meiryo UI"/>
      <family val="3"/>
      <charset val="128"/>
    </font>
    <font>
      <sz val="24"/>
      <name val="Meiryo UI"/>
      <family val="3"/>
      <charset val="128"/>
    </font>
    <font>
      <sz val="11"/>
      <name val="Meiryo UI"/>
      <family val="3"/>
      <charset val="128"/>
    </font>
    <font>
      <sz val="11"/>
      <color theme="1"/>
      <name val="ＭＳ ゴシック"/>
      <family val="2"/>
      <charset val="128"/>
    </font>
    <font>
      <sz val="9"/>
      <color rgb="FFFF0000"/>
      <name val="Meiryo UI"/>
      <family val="3"/>
      <charset val="128"/>
    </font>
    <font>
      <sz val="7.5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theme="6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14999847407452621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29" fillId="0" borderId="0"/>
    <xf numFmtId="0" fontId="29" fillId="0" borderId="0"/>
    <xf numFmtId="38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8" fillId="0" borderId="0">
      <alignment vertical="center"/>
    </xf>
    <xf numFmtId="38" fontId="38" fillId="0" borderId="0" applyFont="0" applyFill="0" applyBorder="0" applyAlignment="0" applyProtection="0">
      <alignment vertical="center"/>
    </xf>
  </cellStyleXfs>
  <cellXfs count="700">
    <xf numFmtId="0" fontId="0" fillId="0" borderId="0" xfId="0">
      <alignment vertical="center"/>
    </xf>
    <xf numFmtId="38" fontId="0" fillId="0" borderId="0" xfId="1" applyFont="1">
      <alignment vertical="center"/>
    </xf>
    <xf numFmtId="38" fontId="0" fillId="0" borderId="0" xfId="1" applyFont="1" applyAlignment="1">
      <alignment horizontal="center" vertical="center"/>
    </xf>
    <xf numFmtId="38" fontId="3" fillId="0" borderId="0" xfId="1" applyFont="1">
      <alignment vertical="center"/>
    </xf>
    <xf numFmtId="38" fontId="0" fillId="0" borderId="0" xfId="1" applyFont="1" applyAlignment="1">
      <alignment horizontal="right" vertical="center"/>
    </xf>
    <xf numFmtId="38" fontId="0" fillId="0" borderId="5" xfId="1" applyFont="1" applyBorder="1">
      <alignment vertical="center"/>
    </xf>
    <xf numFmtId="38" fontId="0" fillId="0" borderId="0" xfId="1" applyFont="1" applyBorder="1">
      <alignment vertical="center"/>
    </xf>
    <xf numFmtId="38" fontId="0" fillId="0" borderId="7" xfId="1" applyFont="1" applyBorder="1" applyAlignment="1">
      <alignment horizontal="center" vertical="center"/>
    </xf>
    <xf numFmtId="38" fontId="0" fillId="0" borderId="8" xfId="1" applyFont="1" applyBorder="1">
      <alignment vertical="center"/>
    </xf>
    <xf numFmtId="38" fontId="0" fillId="2" borderId="1" xfId="1" applyFont="1" applyFill="1" applyBorder="1">
      <alignment vertical="center"/>
    </xf>
    <xf numFmtId="38" fontId="0" fillId="2" borderId="10" xfId="1" applyFont="1" applyFill="1" applyBorder="1">
      <alignment vertical="center"/>
    </xf>
    <xf numFmtId="38" fontId="0" fillId="0" borderId="1" xfId="1" applyFont="1" applyBorder="1" applyAlignment="1">
      <alignment horizontal="center" vertical="center"/>
    </xf>
    <xf numFmtId="38" fontId="3" fillId="0" borderId="0" xfId="1" applyFont="1" applyAlignment="1">
      <alignment horizontal="center" vertical="center"/>
    </xf>
    <xf numFmtId="38" fontId="0" fillId="0" borderId="2" xfId="1" applyFont="1" applyBorder="1">
      <alignment vertical="center"/>
    </xf>
    <xf numFmtId="38" fontId="0" fillId="0" borderId="3" xfId="1" applyFont="1" applyBorder="1">
      <alignment vertical="center"/>
    </xf>
    <xf numFmtId="38" fontId="0" fillId="0" borderId="4" xfId="1" applyFont="1" applyBorder="1">
      <alignment vertical="center"/>
    </xf>
    <xf numFmtId="38" fontId="0" fillId="0" borderId="11" xfId="1" applyFont="1" applyBorder="1">
      <alignment vertical="center"/>
    </xf>
    <xf numFmtId="38" fontId="0" fillId="0" borderId="6" xfId="1" applyFont="1" applyBorder="1">
      <alignment vertical="center"/>
    </xf>
    <xf numFmtId="38" fontId="0" fillId="0" borderId="12" xfId="1" applyFont="1" applyBorder="1" applyAlignment="1">
      <alignment horizontal="center" vertical="center"/>
    </xf>
    <xf numFmtId="38" fontId="0" fillId="0" borderId="12" xfId="1" applyFont="1" applyBorder="1">
      <alignment vertical="center"/>
    </xf>
    <xf numFmtId="38" fontId="0" fillId="0" borderId="13" xfId="1" applyFont="1" applyBorder="1">
      <alignment vertical="center"/>
    </xf>
    <xf numFmtId="38" fontId="0" fillId="0" borderId="13" xfId="1" applyFont="1" applyBorder="1" applyAlignment="1">
      <alignment horizontal="center" vertical="center"/>
    </xf>
    <xf numFmtId="38" fontId="0" fillId="0" borderId="16" xfId="1" applyFont="1" applyBorder="1" applyAlignment="1">
      <alignment horizontal="center" vertical="center"/>
    </xf>
    <xf numFmtId="38" fontId="0" fillId="0" borderId="17" xfId="1" applyFont="1" applyBorder="1" applyAlignment="1">
      <alignment horizontal="center" vertical="center"/>
    </xf>
    <xf numFmtId="38" fontId="0" fillId="0" borderId="18" xfId="1" applyFont="1" applyBorder="1">
      <alignment vertical="center"/>
    </xf>
    <xf numFmtId="38" fontId="0" fillId="0" borderId="19" xfId="1" applyFont="1" applyBorder="1">
      <alignment vertical="center"/>
    </xf>
    <xf numFmtId="38" fontId="0" fillId="0" borderId="15" xfId="1" applyFont="1" applyBorder="1" applyAlignment="1">
      <alignment horizontal="center" vertical="center"/>
    </xf>
    <xf numFmtId="38" fontId="0" fillId="0" borderId="22" xfId="1" applyFont="1" applyBorder="1" applyAlignment="1">
      <alignment horizontal="center" vertical="center"/>
    </xf>
    <xf numFmtId="38" fontId="0" fillId="0" borderId="23" xfId="1" applyFont="1" applyBorder="1">
      <alignment vertical="center"/>
    </xf>
    <xf numFmtId="38" fontId="0" fillId="0" borderId="19" xfId="1" applyFont="1" applyBorder="1" applyAlignment="1">
      <alignment horizontal="center" vertical="center"/>
    </xf>
    <xf numFmtId="38" fontId="0" fillId="0" borderId="8" xfId="1" applyFont="1" applyBorder="1" applyAlignment="1">
      <alignment horizontal="center" vertical="center"/>
    </xf>
    <xf numFmtId="38" fontId="0" fillId="0" borderId="25" xfId="1" applyFont="1" applyBorder="1" applyAlignment="1">
      <alignment horizontal="center" vertical="center"/>
    </xf>
    <xf numFmtId="38" fontId="0" fillId="0" borderId="7" xfId="1" applyFont="1" applyBorder="1">
      <alignment vertical="center"/>
    </xf>
    <xf numFmtId="38" fontId="0" fillId="0" borderId="25" xfId="1" applyFont="1" applyBorder="1">
      <alignment vertical="center"/>
    </xf>
    <xf numFmtId="38" fontId="0" fillId="0" borderId="14" xfId="1" applyFont="1" applyBorder="1">
      <alignment vertical="center"/>
    </xf>
    <xf numFmtId="38" fontId="0" fillId="0" borderId="15" xfId="1" applyFont="1" applyBorder="1">
      <alignment vertical="center"/>
    </xf>
    <xf numFmtId="38" fontId="0" fillId="0" borderId="27" xfId="1" applyFont="1" applyBorder="1">
      <alignment vertical="center"/>
    </xf>
    <xf numFmtId="38" fontId="0" fillId="2" borderId="16" xfId="1" applyFont="1" applyFill="1" applyBorder="1">
      <alignment vertical="center"/>
    </xf>
    <xf numFmtId="38" fontId="0" fillId="2" borderId="17" xfId="1" applyFont="1" applyFill="1" applyBorder="1">
      <alignment vertical="center"/>
    </xf>
    <xf numFmtId="38" fontId="0" fillId="2" borderId="24" xfId="1" applyFont="1" applyFill="1" applyBorder="1">
      <alignment vertical="center"/>
    </xf>
    <xf numFmtId="38" fontId="0" fillId="2" borderId="25" xfId="1" applyFont="1" applyFill="1" applyBorder="1">
      <alignment vertical="center"/>
    </xf>
    <xf numFmtId="38" fontId="0" fillId="2" borderId="20" xfId="1" applyFont="1" applyFill="1" applyBorder="1">
      <alignment vertical="center"/>
    </xf>
    <xf numFmtId="38" fontId="0" fillId="2" borderId="21" xfId="1" applyFont="1" applyFill="1" applyBorder="1">
      <alignment vertical="center"/>
    </xf>
    <xf numFmtId="38" fontId="0" fillId="2" borderId="22" xfId="1" applyFont="1" applyFill="1" applyBorder="1">
      <alignment vertical="center"/>
    </xf>
    <xf numFmtId="38" fontId="0" fillId="0" borderId="9" xfId="1" applyFont="1" applyBorder="1">
      <alignment vertical="center"/>
    </xf>
    <xf numFmtId="38" fontId="0" fillId="0" borderId="21" xfId="1" applyFont="1" applyBorder="1" applyAlignment="1">
      <alignment horizontal="center" vertical="center"/>
    </xf>
    <xf numFmtId="38" fontId="0" fillId="0" borderId="16" xfId="1" applyFont="1" applyBorder="1">
      <alignment vertical="center"/>
    </xf>
    <xf numFmtId="38" fontId="0" fillId="0" borderId="17" xfId="1" applyFont="1" applyBorder="1">
      <alignment vertical="center"/>
    </xf>
    <xf numFmtId="38" fontId="0" fillId="0" borderId="24" xfId="1" applyFont="1" applyBorder="1">
      <alignment vertical="center"/>
    </xf>
    <xf numFmtId="38" fontId="0" fillId="0" borderId="29" xfId="1" applyFont="1" applyBorder="1" applyAlignment="1">
      <alignment horizontal="center" vertical="center"/>
    </xf>
    <xf numFmtId="38" fontId="0" fillId="0" borderId="28" xfId="1" applyFont="1" applyBorder="1" applyAlignment="1">
      <alignment horizontal="center" vertical="center"/>
    </xf>
    <xf numFmtId="38" fontId="0" fillId="0" borderId="29" xfId="1" applyFont="1" applyBorder="1">
      <alignment vertical="center"/>
    </xf>
    <xf numFmtId="38" fontId="0" fillId="0" borderId="30" xfId="1" applyFont="1" applyBorder="1">
      <alignment vertical="center"/>
    </xf>
    <xf numFmtId="38" fontId="0" fillId="0" borderId="28" xfId="1" applyFont="1" applyBorder="1">
      <alignment vertical="center"/>
    </xf>
    <xf numFmtId="38" fontId="0" fillId="2" borderId="28" xfId="1" applyFont="1" applyFill="1" applyBorder="1">
      <alignment vertical="center"/>
    </xf>
    <xf numFmtId="38" fontId="0" fillId="2" borderId="26" xfId="1" applyFont="1" applyFill="1" applyBorder="1">
      <alignment vertical="center"/>
    </xf>
    <xf numFmtId="38" fontId="0" fillId="2" borderId="12" xfId="1" applyFont="1" applyFill="1" applyBorder="1">
      <alignment vertical="center"/>
    </xf>
    <xf numFmtId="38" fontId="5" fillId="0" borderId="1" xfId="1" applyFont="1" applyBorder="1" applyAlignment="1">
      <alignment horizontal="center" vertical="center"/>
    </xf>
    <xf numFmtId="38" fontId="6" fillId="0" borderId="0" xfId="1" applyFont="1" applyAlignment="1">
      <alignment vertical="center"/>
    </xf>
    <xf numFmtId="38" fontId="6" fillId="0" borderId="0" xfId="1" applyFont="1" applyAlignment="1">
      <alignment horizontal="right" vertical="center"/>
    </xf>
    <xf numFmtId="38" fontId="8" fillId="0" borderId="0" xfId="1" applyFont="1">
      <alignment vertical="center"/>
    </xf>
    <xf numFmtId="38" fontId="8" fillId="0" borderId="9" xfId="1" applyFont="1" applyBorder="1" applyAlignment="1">
      <alignment horizontal="center" vertical="center"/>
    </xf>
    <xf numFmtId="38" fontId="8" fillId="0" borderId="10" xfId="1" applyFont="1" applyBorder="1" applyAlignment="1">
      <alignment horizontal="center" vertical="center"/>
    </xf>
    <xf numFmtId="38" fontId="8" fillId="2" borderId="1" xfId="1" applyFont="1" applyFill="1" applyBorder="1">
      <alignment vertical="center"/>
    </xf>
    <xf numFmtId="38" fontId="8" fillId="0" borderId="1" xfId="1" applyFont="1" applyBorder="1">
      <alignment vertical="center"/>
    </xf>
    <xf numFmtId="38" fontId="6" fillId="0" borderId="0" xfId="1" applyFont="1" applyAlignment="1">
      <alignment horizontal="center" vertical="center"/>
    </xf>
    <xf numFmtId="38" fontId="10" fillId="0" borderId="0" xfId="1" applyFont="1">
      <alignment vertical="center"/>
    </xf>
    <xf numFmtId="38" fontId="8" fillId="0" borderId="0" xfId="1" applyFont="1" applyAlignment="1">
      <alignment vertical="center"/>
    </xf>
    <xf numFmtId="38" fontId="9" fillId="0" borderId="0" xfId="1" applyFont="1" applyAlignment="1">
      <alignment vertical="center"/>
    </xf>
    <xf numFmtId="38" fontId="0" fillId="0" borderId="0" xfId="1" applyFont="1" applyAlignment="1">
      <alignment vertical="center"/>
    </xf>
    <xf numFmtId="38" fontId="8" fillId="0" borderId="1" xfId="1" applyFont="1" applyBorder="1" applyAlignment="1">
      <alignment vertical="center"/>
    </xf>
    <xf numFmtId="38" fontId="8" fillId="3" borderId="1" xfId="1" applyFont="1" applyFill="1" applyBorder="1" applyAlignment="1">
      <alignment vertical="center"/>
    </xf>
    <xf numFmtId="38" fontId="8" fillId="0" borderId="1" xfId="1" applyFont="1" applyBorder="1" applyAlignment="1">
      <alignment horizontal="center" vertical="center"/>
    </xf>
    <xf numFmtId="38" fontId="8" fillId="3" borderId="1" xfId="1" applyFont="1" applyFill="1" applyBorder="1" applyAlignment="1">
      <alignment horizontal="center" vertical="center"/>
    </xf>
    <xf numFmtId="38" fontId="8" fillId="0" borderId="1" xfId="1" applyFont="1" applyFill="1" applyBorder="1" applyAlignment="1">
      <alignment vertical="center"/>
    </xf>
    <xf numFmtId="38" fontId="8" fillId="0" borderId="0" xfId="1" applyFont="1" applyFill="1" applyAlignment="1">
      <alignment vertical="center"/>
    </xf>
    <xf numFmtId="38" fontId="13" fillId="0" borderId="0" xfId="1" applyFont="1" applyAlignment="1">
      <alignment vertical="center"/>
    </xf>
    <xf numFmtId="38" fontId="0" fillId="0" borderId="2" xfId="1" applyFont="1" applyBorder="1" applyAlignment="1">
      <alignment horizontal="center" vertical="center"/>
    </xf>
    <xf numFmtId="38" fontId="0" fillId="0" borderId="6" xfId="1" applyFont="1" applyBorder="1" applyAlignment="1">
      <alignment horizontal="center" vertical="center"/>
    </xf>
    <xf numFmtId="38" fontId="11" fillId="0" borderId="1" xfId="1" applyFont="1" applyBorder="1" applyAlignment="1">
      <alignment vertical="center"/>
    </xf>
    <xf numFmtId="38" fontId="8" fillId="2" borderId="1" xfId="1" applyFont="1" applyFill="1" applyBorder="1" applyAlignment="1">
      <alignment horizontal="center" vertical="center"/>
    </xf>
    <xf numFmtId="38" fontId="6" fillId="2" borderId="1" xfId="1" applyFont="1" applyFill="1" applyBorder="1" applyAlignment="1">
      <alignment horizontal="center" vertical="center"/>
    </xf>
    <xf numFmtId="38" fontId="6" fillId="0" borderId="1" xfId="1" applyFont="1" applyBorder="1" applyAlignment="1">
      <alignment horizontal="center" vertical="center"/>
    </xf>
    <xf numFmtId="176" fontId="8" fillId="2" borderId="1" xfId="1" applyNumberFormat="1" applyFont="1" applyFill="1" applyBorder="1">
      <alignment vertical="center"/>
    </xf>
    <xf numFmtId="38" fontId="8" fillId="0" borderId="0" xfId="1" applyFont="1" applyFill="1" applyBorder="1" applyAlignment="1">
      <alignment vertical="center"/>
    </xf>
    <xf numFmtId="38" fontId="6" fillId="0" borderId="0" xfId="1" applyFont="1">
      <alignment vertical="center"/>
    </xf>
    <xf numFmtId="38" fontId="0" fillId="0" borderId="0" xfId="1" applyFont="1" applyFill="1">
      <alignment vertical="center"/>
    </xf>
    <xf numFmtId="176" fontId="8" fillId="0" borderId="1" xfId="1" applyNumberFormat="1" applyFont="1" applyFill="1" applyBorder="1" applyAlignment="1">
      <alignment vertical="center"/>
    </xf>
    <xf numFmtId="176" fontId="8" fillId="3" borderId="1" xfId="1" applyNumberFormat="1" applyFont="1" applyFill="1" applyBorder="1" applyAlignment="1">
      <alignment vertical="center"/>
    </xf>
    <xf numFmtId="38" fontId="8" fillId="0" borderId="0" xfId="1" applyFont="1" applyFill="1" applyBorder="1" applyAlignment="1">
      <alignment horizontal="center" vertical="center"/>
    </xf>
    <xf numFmtId="38" fontId="8" fillId="0" borderId="1" xfId="1" applyFont="1" applyFill="1" applyBorder="1" applyAlignment="1">
      <alignment horizontal="center" vertical="center"/>
    </xf>
    <xf numFmtId="38" fontId="8" fillId="4" borderId="1" xfId="1" applyFont="1" applyFill="1" applyBorder="1" applyAlignment="1">
      <alignment vertical="center"/>
    </xf>
    <xf numFmtId="38" fontId="8" fillId="4" borderId="1" xfId="1" applyFont="1" applyFill="1" applyBorder="1">
      <alignment vertical="center"/>
    </xf>
    <xf numFmtId="38" fontId="16" fillId="0" borderId="0" xfId="1" applyFont="1" applyAlignment="1">
      <alignment horizontal="center" vertical="center"/>
    </xf>
    <xf numFmtId="38" fontId="0" fillId="0" borderId="0" xfId="1" applyFont="1" applyAlignment="1">
      <alignment horizontal="left" vertical="center"/>
    </xf>
    <xf numFmtId="38" fontId="11" fillId="0" borderId="6" xfId="1" applyFont="1" applyBorder="1" applyAlignment="1">
      <alignment horizontal="center" vertical="center"/>
    </xf>
    <xf numFmtId="38" fontId="11" fillId="0" borderId="9" xfId="1" applyFont="1" applyBorder="1" applyAlignment="1">
      <alignment horizontal="center" vertical="center"/>
    </xf>
    <xf numFmtId="38" fontId="11" fillId="0" borderId="1" xfId="1" applyFont="1" applyBorder="1" applyAlignment="1">
      <alignment horizontal="center" vertical="center"/>
    </xf>
    <xf numFmtId="38" fontId="11" fillId="0" borderId="10" xfId="1" applyFont="1" applyBorder="1" applyAlignment="1">
      <alignment horizontal="center" vertical="center"/>
    </xf>
    <xf numFmtId="38" fontId="19" fillId="0" borderId="0" xfId="1" applyFont="1" applyAlignment="1">
      <alignment horizontal="left" vertical="center"/>
    </xf>
    <xf numFmtId="38" fontId="8" fillId="0" borderId="0" xfId="1" applyFont="1" applyBorder="1" applyAlignment="1">
      <alignment vertical="center"/>
    </xf>
    <xf numFmtId="38" fontId="19" fillId="0" borderId="0" xfId="1" applyFont="1" applyAlignment="1">
      <alignment vertical="center"/>
    </xf>
    <xf numFmtId="38" fontId="19" fillId="0" borderId="0" xfId="1" applyFont="1">
      <alignment vertical="center"/>
    </xf>
    <xf numFmtId="38" fontId="19" fillId="0" borderId="0" xfId="1" applyFont="1" applyFill="1" applyBorder="1" applyAlignment="1">
      <alignment horizontal="center" vertical="center"/>
    </xf>
    <xf numFmtId="3" fontId="6" fillId="2" borderId="1" xfId="1" applyNumberFormat="1" applyFont="1" applyFill="1" applyBorder="1" applyAlignment="1">
      <alignment vertical="center"/>
    </xf>
    <xf numFmtId="3" fontId="6" fillId="0" borderId="5" xfId="1" applyNumberFormat="1" applyFont="1" applyBorder="1">
      <alignment vertical="center"/>
    </xf>
    <xf numFmtId="3" fontId="8" fillId="0" borderId="0" xfId="1" applyNumberFormat="1" applyFont="1" applyBorder="1" applyAlignment="1">
      <alignment horizontal="right" vertical="center"/>
    </xf>
    <xf numFmtId="3" fontId="8" fillId="0" borderId="9" xfId="1" applyNumberFormat="1" applyFont="1" applyBorder="1" applyAlignment="1">
      <alignment horizontal="right" vertical="center"/>
    </xf>
    <xf numFmtId="3" fontId="8" fillId="0" borderId="1" xfId="1" applyNumberFormat="1" applyFont="1" applyBorder="1" applyAlignment="1">
      <alignment horizontal="right" vertical="center"/>
    </xf>
    <xf numFmtId="3" fontId="8" fillId="0" borderId="9" xfId="1" applyNumberFormat="1" applyFont="1" applyBorder="1">
      <alignment vertical="center"/>
    </xf>
    <xf numFmtId="3" fontId="8" fillId="0" borderId="1" xfId="1" applyNumberFormat="1" applyFont="1" applyBorder="1">
      <alignment vertical="center"/>
    </xf>
    <xf numFmtId="38" fontId="17" fillId="0" borderId="0" xfId="1" applyFont="1" applyAlignment="1">
      <alignment horizontal="center" vertical="center"/>
    </xf>
    <xf numFmtId="3" fontId="6" fillId="2" borderId="9" xfId="1" applyNumberFormat="1" applyFont="1" applyFill="1" applyBorder="1">
      <alignment vertical="center"/>
    </xf>
    <xf numFmtId="176" fontId="22" fillId="2" borderId="9" xfId="1" applyNumberFormat="1" applyFont="1" applyFill="1" applyBorder="1">
      <alignment vertical="center"/>
    </xf>
    <xf numFmtId="3" fontId="6" fillId="0" borderId="5" xfId="1" applyNumberFormat="1" applyFont="1" applyBorder="1" applyAlignment="1">
      <alignment horizontal="right" vertical="center"/>
    </xf>
    <xf numFmtId="3" fontId="8" fillId="0" borderId="8" xfId="1" applyNumberFormat="1" applyFont="1" applyBorder="1" applyAlignment="1">
      <alignment horizontal="right" vertical="center"/>
    </xf>
    <xf numFmtId="38" fontId="0" fillId="0" borderId="32" xfId="1" applyFont="1" applyBorder="1" applyAlignment="1">
      <alignment horizontal="center" vertical="center"/>
    </xf>
    <xf numFmtId="38" fontId="0" fillId="0" borderId="33" xfId="1" applyFont="1" applyBorder="1" applyAlignment="1">
      <alignment horizontal="center" vertical="center"/>
    </xf>
    <xf numFmtId="38" fontId="6" fillId="2" borderId="34" xfId="1" applyFont="1" applyFill="1" applyBorder="1" applyAlignment="1">
      <alignment vertical="center"/>
    </xf>
    <xf numFmtId="38" fontId="6" fillId="0" borderId="35" xfId="1" applyFont="1" applyBorder="1">
      <alignment vertical="center"/>
    </xf>
    <xf numFmtId="38" fontId="8" fillId="2" borderId="34" xfId="1" applyFont="1" applyFill="1" applyBorder="1">
      <alignment vertical="center"/>
    </xf>
    <xf numFmtId="38" fontId="11" fillId="2" borderId="34" xfId="1" applyFont="1" applyFill="1" applyBorder="1" applyAlignment="1">
      <alignment horizontal="right" vertical="center"/>
    </xf>
    <xf numFmtId="38" fontId="8" fillId="0" borderId="35" xfId="1" applyFont="1" applyBorder="1">
      <alignment vertical="center"/>
    </xf>
    <xf numFmtId="38" fontId="8" fillId="0" borderId="34" xfId="1" applyFont="1" applyBorder="1">
      <alignment vertical="center"/>
    </xf>
    <xf numFmtId="38" fontId="11" fillId="2" borderId="36" xfId="1" applyFont="1" applyFill="1" applyBorder="1" applyAlignment="1">
      <alignment horizontal="right" vertical="center"/>
    </xf>
    <xf numFmtId="38" fontId="1" fillId="0" borderId="37" xfId="1" applyFont="1" applyBorder="1" applyAlignment="1">
      <alignment horizontal="center" vertical="center"/>
    </xf>
    <xf numFmtId="38" fontId="1" fillId="0" borderId="38" xfId="1" applyFont="1" applyBorder="1" applyAlignment="1">
      <alignment horizontal="center" vertical="center"/>
    </xf>
    <xf numFmtId="38" fontId="1" fillId="0" borderId="39" xfId="1" applyFont="1" applyBorder="1" applyAlignment="1">
      <alignment horizontal="center" vertical="center"/>
    </xf>
    <xf numFmtId="38" fontId="11" fillId="0" borderId="40" xfId="1" applyFont="1" applyBorder="1" applyAlignment="1">
      <alignment horizontal="center" vertical="center"/>
    </xf>
    <xf numFmtId="38" fontId="11" fillId="0" borderId="41" xfId="1" applyFont="1" applyBorder="1" applyAlignment="1">
      <alignment horizontal="center" vertical="center"/>
    </xf>
    <xf numFmtId="3" fontId="6" fillId="2" borderId="42" xfId="1" applyNumberFormat="1" applyFont="1" applyFill="1" applyBorder="1" applyAlignment="1">
      <alignment vertical="center"/>
    </xf>
    <xf numFmtId="3" fontId="6" fillId="2" borderId="43" xfId="1" applyNumberFormat="1" applyFont="1" applyFill="1" applyBorder="1" applyAlignment="1">
      <alignment vertical="center"/>
    </xf>
    <xf numFmtId="3" fontId="6" fillId="0" borderId="44" xfId="1" applyNumberFormat="1" applyFont="1" applyBorder="1">
      <alignment vertical="center"/>
    </xf>
    <xf numFmtId="3" fontId="6" fillId="0" borderId="45" xfId="1" applyNumberFormat="1" applyFont="1" applyBorder="1">
      <alignment vertical="center"/>
    </xf>
    <xf numFmtId="3" fontId="6" fillId="2" borderId="46" xfId="1" applyNumberFormat="1" applyFont="1" applyFill="1" applyBorder="1">
      <alignment vertical="center"/>
    </xf>
    <xf numFmtId="3" fontId="6" fillId="2" borderId="43" xfId="1" applyNumberFormat="1" applyFont="1" applyFill="1" applyBorder="1">
      <alignment vertical="center"/>
    </xf>
    <xf numFmtId="176" fontId="22" fillId="2" borderId="46" xfId="1" applyNumberFormat="1" applyFont="1" applyFill="1" applyBorder="1">
      <alignment vertical="center"/>
    </xf>
    <xf numFmtId="176" fontId="22" fillId="2" borderId="43" xfId="1" applyNumberFormat="1" applyFont="1" applyFill="1" applyBorder="1">
      <alignment vertical="center"/>
    </xf>
    <xf numFmtId="3" fontId="6" fillId="0" borderId="44" xfId="1" applyNumberFormat="1" applyFont="1" applyBorder="1" applyAlignment="1">
      <alignment horizontal="right" vertical="center"/>
    </xf>
    <xf numFmtId="3" fontId="6" fillId="0" borderId="45" xfId="1" applyNumberFormat="1" applyFont="1" applyBorder="1" applyAlignment="1">
      <alignment horizontal="right" vertical="center"/>
    </xf>
    <xf numFmtId="3" fontId="8" fillId="0" borderId="46" xfId="1" applyNumberFormat="1" applyFont="1" applyBorder="1" applyAlignment="1">
      <alignment horizontal="right" vertical="center"/>
    </xf>
    <xf numFmtId="3" fontId="8" fillId="0" borderId="43" xfId="1" applyNumberFormat="1" applyFont="1" applyBorder="1" applyAlignment="1">
      <alignment horizontal="right" vertical="center"/>
    </xf>
    <xf numFmtId="3" fontId="8" fillId="0" borderId="46" xfId="1" applyNumberFormat="1" applyFont="1" applyBorder="1">
      <alignment vertical="center"/>
    </xf>
    <xf numFmtId="3" fontId="8" fillId="0" borderId="43" xfId="1" applyNumberFormat="1" applyFont="1" applyBorder="1">
      <alignment vertical="center"/>
    </xf>
    <xf numFmtId="176" fontId="21" fillId="2" borderId="47" xfId="1" applyNumberFormat="1" applyFont="1" applyFill="1" applyBorder="1">
      <alignment vertical="center"/>
    </xf>
    <xf numFmtId="176" fontId="21" fillId="2" borderId="48" xfId="1" applyNumberFormat="1" applyFont="1" applyFill="1" applyBorder="1">
      <alignment vertical="center"/>
    </xf>
    <xf numFmtId="176" fontId="21" fillId="2" borderId="49" xfId="1" applyNumberFormat="1" applyFont="1" applyFill="1" applyBorder="1">
      <alignment vertical="center"/>
    </xf>
    <xf numFmtId="38" fontId="11" fillId="0" borderId="43" xfId="1" applyFont="1" applyBorder="1" applyAlignment="1">
      <alignment horizontal="center" vertical="center"/>
    </xf>
    <xf numFmtId="3" fontId="6" fillId="5" borderId="43" xfId="1" applyNumberFormat="1" applyFont="1" applyFill="1" applyBorder="1" applyAlignment="1">
      <alignment vertical="center"/>
    </xf>
    <xf numFmtId="3" fontId="6" fillId="5" borderId="43" xfId="1" applyNumberFormat="1" applyFont="1" applyFill="1" applyBorder="1">
      <alignment vertical="center"/>
    </xf>
    <xf numFmtId="176" fontId="22" fillId="5" borderId="43" xfId="1" applyNumberFormat="1" applyFont="1" applyFill="1" applyBorder="1">
      <alignment vertical="center"/>
    </xf>
    <xf numFmtId="3" fontId="8" fillId="0" borderId="45" xfId="1" applyNumberFormat="1" applyFont="1" applyBorder="1" applyAlignment="1">
      <alignment horizontal="right" vertical="center"/>
    </xf>
    <xf numFmtId="176" fontId="22" fillId="5" borderId="49" xfId="1" applyNumberFormat="1" applyFont="1" applyFill="1" applyBorder="1">
      <alignment vertical="center"/>
    </xf>
    <xf numFmtId="38" fontId="11" fillId="0" borderId="46" xfId="1" applyFont="1" applyBorder="1" applyAlignment="1">
      <alignment horizontal="center" vertical="center"/>
    </xf>
    <xf numFmtId="3" fontId="8" fillId="0" borderId="55" xfId="1" applyNumberFormat="1" applyFont="1" applyBorder="1" applyAlignment="1">
      <alignment horizontal="right" vertical="center"/>
    </xf>
    <xf numFmtId="38" fontId="6" fillId="0" borderId="1" xfId="1" applyFont="1" applyBorder="1">
      <alignment vertical="center"/>
    </xf>
    <xf numFmtId="38" fontId="6" fillId="0" borderId="0" xfId="1" applyFont="1" applyBorder="1">
      <alignment vertical="center"/>
    </xf>
    <xf numFmtId="38" fontId="6" fillId="0" borderId="38" xfId="1" applyFont="1" applyBorder="1" applyAlignment="1">
      <alignment horizontal="center" vertical="center"/>
    </xf>
    <xf numFmtId="38" fontId="6" fillId="0" borderId="39" xfId="1" applyFont="1" applyBorder="1" applyAlignment="1">
      <alignment horizontal="center" vertical="center"/>
    </xf>
    <xf numFmtId="38" fontId="8" fillId="0" borderId="48" xfId="1" applyFont="1" applyBorder="1">
      <alignment vertical="center"/>
    </xf>
    <xf numFmtId="38" fontId="8" fillId="0" borderId="49" xfId="1" applyFont="1" applyBorder="1">
      <alignment vertical="center"/>
    </xf>
    <xf numFmtId="38" fontId="6" fillId="0" borderId="42" xfId="1" applyFont="1" applyBorder="1">
      <alignment vertical="center"/>
    </xf>
    <xf numFmtId="38" fontId="6" fillId="0" borderId="43" xfId="1" applyFont="1" applyBorder="1">
      <alignment vertical="center"/>
    </xf>
    <xf numFmtId="38" fontId="6" fillId="0" borderId="43" xfId="1" applyFont="1" applyBorder="1" applyAlignment="1">
      <alignment horizontal="center" vertical="center"/>
    </xf>
    <xf numFmtId="38" fontId="6" fillId="0" borderId="48" xfId="1" applyFont="1" applyBorder="1">
      <alignment vertical="center"/>
    </xf>
    <xf numFmtId="38" fontId="6" fillId="0" borderId="49" xfId="1" applyFont="1" applyBorder="1">
      <alignment vertical="center"/>
    </xf>
    <xf numFmtId="38" fontId="23" fillId="0" borderId="0" xfId="1" applyFont="1" applyAlignment="1">
      <alignment horizontal="center" vertical="center"/>
    </xf>
    <xf numFmtId="38" fontId="20" fillId="0" borderId="56" xfId="1" applyFont="1" applyFill="1" applyBorder="1" applyAlignment="1">
      <alignment horizontal="center" vertical="center"/>
    </xf>
    <xf numFmtId="38" fontId="20" fillId="0" borderId="34" xfId="1" applyFont="1" applyFill="1" applyBorder="1" applyAlignment="1">
      <alignment vertical="center"/>
    </xf>
    <xf numFmtId="38" fontId="20" fillId="0" borderId="34" xfId="1" applyFont="1" applyFill="1" applyBorder="1" applyAlignment="1">
      <alignment horizontal="center" vertical="center"/>
    </xf>
    <xf numFmtId="38" fontId="20" fillId="0" borderId="36" xfId="1" applyFont="1" applyFill="1" applyBorder="1" applyAlignment="1">
      <alignment vertical="center"/>
    </xf>
    <xf numFmtId="38" fontId="24" fillId="0" borderId="37" xfId="1" applyFont="1" applyBorder="1" applyAlignment="1">
      <alignment horizontal="center" vertical="center"/>
    </xf>
    <xf numFmtId="38" fontId="20" fillId="0" borderId="42" xfId="1" applyFont="1" applyBorder="1">
      <alignment vertical="center"/>
    </xf>
    <xf numFmtId="38" fontId="20" fillId="0" borderId="42" xfId="1" applyFont="1" applyBorder="1" applyAlignment="1">
      <alignment horizontal="center" vertical="center"/>
    </xf>
    <xf numFmtId="38" fontId="20" fillId="0" borderId="47" xfId="1" applyFont="1" applyBorder="1">
      <alignment vertical="center"/>
    </xf>
    <xf numFmtId="38" fontId="20" fillId="0" borderId="0" xfId="1" applyFont="1" applyFill="1" applyBorder="1" applyAlignment="1">
      <alignment vertical="center"/>
    </xf>
    <xf numFmtId="38" fontId="20" fillId="0" borderId="37" xfId="1" applyFont="1" applyBorder="1" applyAlignment="1">
      <alignment horizontal="center" vertical="center"/>
    </xf>
    <xf numFmtId="3" fontId="6" fillId="0" borderId="48" xfId="1" applyNumberFormat="1" applyFont="1" applyBorder="1">
      <alignment vertical="center"/>
    </xf>
    <xf numFmtId="3" fontId="6" fillId="0" borderId="49" xfId="1" applyNumberFormat="1" applyFont="1" applyBorder="1">
      <alignment vertical="center"/>
    </xf>
    <xf numFmtId="3" fontId="6" fillId="0" borderId="1" xfId="1" applyNumberFormat="1" applyFont="1" applyBorder="1">
      <alignment vertical="center"/>
    </xf>
    <xf numFmtId="3" fontId="6" fillId="0" borderId="43" xfId="1" applyNumberFormat="1" applyFont="1" applyBorder="1">
      <alignment vertical="center"/>
    </xf>
    <xf numFmtId="3" fontId="8" fillId="2" borderId="1" xfId="1" applyNumberFormat="1" applyFont="1" applyFill="1" applyBorder="1" applyAlignment="1">
      <alignment vertical="center"/>
    </xf>
    <xf numFmtId="3" fontId="8" fillId="5" borderId="1" xfId="1" applyNumberFormat="1" applyFont="1" applyFill="1" applyBorder="1" applyAlignment="1">
      <alignment vertical="center"/>
    </xf>
    <xf numFmtId="3" fontId="8" fillId="0" borderId="5" xfId="1" applyNumberFormat="1" applyFont="1" applyBorder="1">
      <alignment vertical="center"/>
    </xf>
    <xf numFmtId="3" fontId="8" fillId="0" borderId="8" xfId="1" applyNumberFormat="1" applyFont="1" applyBorder="1">
      <alignment vertical="center"/>
    </xf>
    <xf numFmtId="3" fontId="8" fillId="2" borderId="9" xfId="1" applyNumberFormat="1" applyFont="1" applyFill="1" applyBorder="1">
      <alignment vertical="center"/>
    </xf>
    <xf numFmtId="3" fontId="8" fillId="5" borderId="1" xfId="1" applyNumberFormat="1" applyFont="1" applyFill="1" applyBorder="1">
      <alignment vertical="center"/>
    </xf>
    <xf numFmtId="176" fontId="21" fillId="2" borderId="9" xfId="1" applyNumberFormat="1" applyFont="1" applyFill="1" applyBorder="1">
      <alignment vertical="center"/>
    </xf>
    <xf numFmtId="176" fontId="21" fillId="5" borderId="1" xfId="1" applyNumberFormat="1" applyFont="1" applyFill="1" applyBorder="1">
      <alignment vertical="center"/>
    </xf>
    <xf numFmtId="3" fontId="8" fillId="0" borderId="5" xfId="1" applyNumberFormat="1" applyFont="1" applyBorder="1" applyAlignment="1">
      <alignment horizontal="right" vertical="center"/>
    </xf>
    <xf numFmtId="176" fontId="21" fillId="5" borderId="48" xfId="1" applyNumberFormat="1" applyFont="1" applyFill="1" applyBorder="1">
      <alignment vertical="center"/>
    </xf>
    <xf numFmtId="3" fontId="8" fillId="2" borderId="42" xfId="1" applyNumberFormat="1" applyFont="1" applyFill="1" applyBorder="1" applyAlignment="1">
      <alignment vertical="center"/>
    </xf>
    <xf numFmtId="3" fontId="8" fillId="0" borderId="44" xfId="1" applyNumberFormat="1" applyFont="1" applyBorder="1">
      <alignment vertical="center"/>
    </xf>
    <xf numFmtId="3" fontId="8" fillId="2" borderId="46" xfId="1" applyNumberFormat="1" applyFont="1" applyFill="1" applyBorder="1">
      <alignment vertical="center"/>
    </xf>
    <xf numFmtId="176" fontId="21" fillId="2" borderId="46" xfId="1" applyNumberFormat="1" applyFont="1" applyFill="1" applyBorder="1">
      <alignment vertical="center"/>
    </xf>
    <xf numFmtId="176" fontId="21" fillId="5" borderId="9" xfId="1" applyNumberFormat="1" applyFont="1" applyFill="1" applyBorder="1">
      <alignment vertical="center"/>
    </xf>
    <xf numFmtId="3" fontId="8" fillId="0" borderId="44" xfId="1" applyNumberFormat="1" applyFont="1" applyBorder="1" applyAlignment="1">
      <alignment horizontal="right" vertical="center"/>
    </xf>
    <xf numFmtId="3" fontId="8" fillId="5" borderId="43" xfId="1" applyNumberFormat="1" applyFont="1" applyFill="1" applyBorder="1" applyAlignment="1">
      <alignment vertical="center"/>
    </xf>
    <xf numFmtId="3" fontId="8" fillId="0" borderId="0" xfId="1" applyNumberFormat="1" applyFont="1" applyBorder="1">
      <alignment vertical="center"/>
    </xf>
    <xf numFmtId="3" fontId="8" fillId="0" borderId="45" xfId="1" applyNumberFormat="1" applyFont="1" applyBorder="1">
      <alignment vertical="center"/>
    </xf>
    <xf numFmtId="3" fontId="8" fillId="2" borderId="10" xfId="1" applyNumberFormat="1" applyFont="1" applyFill="1" applyBorder="1">
      <alignment vertical="center"/>
    </xf>
    <xf numFmtId="3" fontId="8" fillId="5" borderId="43" xfId="1" applyNumberFormat="1" applyFont="1" applyFill="1" applyBorder="1">
      <alignment vertical="center"/>
    </xf>
    <xf numFmtId="176" fontId="21" fillId="5" borderId="43" xfId="1" applyNumberFormat="1" applyFont="1" applyFill="1" applyBorder="1">
      <alignment vertical="center"/>
    </xf>
    <xf numFmtId="176" fontId="21" fillId="5" borderId="49" xfId="1" applyNumberFormat="1" applyFont="1" applyFill="1" applyBorder="1">
      <alignment vertical="center"/>
    </xf>
    <xf numFmtId="38" fontId="18" fillId="0" borderId="0" xfId="1" applyFont="1">
      <alignment vertical="center"/>
    </xf>
    <xf numFmtId="38" fontId="18" fillId="0" borderId="0" xfId="1" applyFont="1" applyAlignment="1">
      <alignment vertical="center"/>
    </xf>
    <xf numFmtId="38" fontId="18" fillId="0" borderId="0" xfId="1" applyFont="1" applyFill="1">
      <alignment vertical="center"/>
    </xf>
    <xf numFmtId="38" fontId="8" fillId="0" borderId="0" xfId="1" applyFont="1" applyFill="1">
      <alignment vertical="center"/>
    </xf>
    <xf numFmtId="38" fontId="25" fillId="0" borderId="0" xfId="1" applyFont="1" applyAlignment="1">
      <alignment horizontal="center" vertical="center"/>
    </xf>
    <xf numFmtId="38" fontId="8" fillId="4" borderId="25" xfId="1" applyFont="1" applyFill="1" applyBorder="1" applyAlignment="1">
      <alignment vertical="center"/>
    </xf>
    <xf numFmtId="3" fontId="6" fillId="5" borderId="9" xfId="1" applyNumberFormat="1" applyFont="1" applyFill="1" applyBorder="1" applyAlignment="1">
      <alignment vertical="center"/>
    </xf>
    <xf numFmtId="3" fontId="6" fillId="5" borderId="9" xfId="1" applyNumberFormat="1" applyFont="1" applyFill="1" applyBorder="1">
      <alignment vertical="center"/>
    </xf>
    <xf numFmtId="176" fontId="22" fillId="5" borderId="9" xfId="1" applyNumberFormat="1" applyFont="1" applyFill="1" applyBorder="1">
      <alignment vertical="center"/>
    </xf>
    <xf numFmtId="176" fontId="22" fillId="5" borderId="65" xfId="1" applyNumberFormat="1" applyFont="1" applyFill="1" applyBorder="1">
      <alignment vertical="center"/>
    </xf>
    <xf numFmtId="38" fontId="8" fillId="0" borderId="35" xfId="1" applyFont="1" applyBorder="1" applyAlignment="1">
      <alignment vertical="center" shrinkToFit="1"/>
    </xf>
    <xf numFmtId="38" fontId="6" fillId="0" borderId="69" xfId="1" applyFont="1" applyBorder="1" applyAlignment="1">
      <alignment horizontal="center" vertical="center"/>
    </xf>
    <xf numFmtId="38" fontId="6" fillId="0" borderId="46" xfId="1" applyFont="1" applyBorder="1">
      <alignment vertical="center"/>
    </xf>
    <xf numFmtId="38" fontId="6" fillId="0" borderId="46" xfId="1" applyFont="1" applyBorder="1" applyAlignment="1">
      <alignment horizontal="center" vertical="center"/>
    </xf>
    <xf numFmtId="38" fontId="6" fillId="0" borderId="67" xfId="1" applyFont="1" applyBorder="1">
      <alignment vertical="center"/>
    </xf>
    <xf numFmtId="38" fontId="6" fillId="0" borderId="67" xfId="1" applyFont="1" applyBorder="1" applyAlignment="1">
      <alignment horizontal="right" vertical="center"/>
    </xf>
    <xf numFmtId="38" fontId="6" fillId="0" borderId="48" xfId="1" applyFont="1" applyBorder="1" applyAlignment="1">
      <alignment horizontal="right" vertical="center"/>
    </xf>
    <xf numFmtId="38" fontId="6" fillId="0" borderId="40" xfId="1" applyFont="1" applyBorder="1" applyAlignment="1">
      <alignment horizontal="center" vertical="center"/>
    </xf>
    <xf numFmtId="38" fontId="7" fillId="4" borderId="59" xfId="1" applyFont="1" applyFill="1" applyBorder="1" applyAlignment="1">
      <alignment horizontal="center" vertical="center"/>
    </xf>
    <xf numFmtId="38" fontId="7" fillId="4" borderId="0" xfId="1" applyFont="1" applyFill="1" applyAlignment="1">
      <alignment vertical="center"/>
    </xf>
    <xf numFmtId="38" fontId="3" fillId="4" borderId="0" xfId="1" applyFont="1" applyFill="1" applyAlignment="1">
      <alignment horizontal="center" vertical="center"/>
    </xf>
    <xf numFmtId="38" fontId="0" fillId="4" borderId="0" xfId="1" applyFont="1" applyFill="1">
      <alignment vertical="center"/>
    </xf>
    <xf numFmtId="38" fontId="6" fillId="4" borderId="0" xfId="1" applyFont="1" applyFill="1" applyAlignment="1">
      <alignment horizontal="right" vertical="center"/>
    </xf>
    <xf numFmtId="38" fontId="0" fillId="4" borderId="0" xfId="1" applyFont="1" applyFill="1" applyAlignment="1">
      <alignment horizontal="center" vertical="center"/>
    </xf>
    <xf numFmtId="38" fontId="3" fillId="4" borderId="0" xfId="1" applyFont="1" applyFill="1">
      <alignment vertical="center"/>
    </xf>
    <xf numFmtId="38" fontId="0" fillId="4" borderId="32" xfId="1" applyFont="1" applyFill="1" applyBorder="1" applyAlignment="1">
      <alignment horizontal="center" vertical="center"/>
    </xf>
    <xf numFmtId="38" fontId="6" fillId="4" borderId="52" xfId="1" applyFont="1" applyFill="1" applyBorder="1" applyAlignment="1">
      <alignment horizontal="center" vertical="center"/>
    </xf>
    <xf numFmtId="38" fontId="6" fillId="4" borderId="50" xfId="1" applyFont="1" applyFill="1" applyBorder="1" applyAlignment="1">
      <alignment horizontal="center" vertical="center"/>
    </xf>
    <xf numFmtId="38" fontId="6" fillId="4" borderId="60" xfId="1" applyFont="1" applyFill="1" applyBorder="1" applyAlignment="1">
      <alignment horizontal="center" vertical="center"/>
    </xf>
    <xf numFmtId="38" fontId="6" fillId="4" borderId="61" xfId="1" applyFont="1" applyFill="1" applyBorder="1" applyAlignment="1">
      <alignment horizontal="center" vertical="center"/>
    </xf>
    <xf numFmtId="38" fontId="6" fillId="4" borderId="54" xfId="1" applyFont="1" applyFill="1" applyBorder="1" applyAlignment="1">
      <alignment horizontal="center" vertical="center"/>
    </xf>
    <xf numFmtId="38" fontId="8" fillId="4" borderId="60" xfId="1" applyFont="1" applyFill="1" applyBorder="1" applyAlignment="1">
      <alignment horizontal="center" vertical="center"/>
    </xf>
    <xf numFmtId="38" fontId="0" fillId="4" borderId="58" xfId="1" applyFont="1" applyFill="1" applyBorder="1" applyAlignment="1">
      <alignment horizontal="center" vertical="center"/>
    </xf>
    <xf numFmtId="38" fontId="8" fillId="4" borderId="62" xfId="1" applyFont="1" applyFill="1" applyBorder="1" applyAlignment="1">
      <alignment horizontal="center" vertical="center"/>
    </xf>
    <xf numFmtId="38" fontId="8" fillId="4" borderId="48" xfId="1" applyFont="1" applyFill="1" applyBorder="1" applyAlignment="1">
      <alignment horizontal="center" vertical="center"/>
    </xf>
    <xf numFmtId="38" fontId="8" fillId="4" borderId="49" xfId="1" applyFont="1" applyFill="1" applyBorder="1" applyAlignment="1">
      <alignment horizontal="center" vertical="center"/>
    </xf>
    <xf numFmtId="38" fontId="8" fillId="4" borderId="47" xfId="1" applyFont="1" applyFill="1" applyBorder="1" applyAlignment="1">
      <alignment horizontal="center" vertical="center"/>
    </xf>
    <xf numFmtId="38" fontId="8" fillId="4" borderId="65" xfId="1" applyFont="1" applyFill="1" applyBorder="1" applyAlignment="1">
      <alignment horizontal="center" vertical="center"/>
    </xf>
    <xf numFmtId="38" fontId="8" fillId="4" borderId="66" xfId="1" applyFont="1" applyFill="1" applyBorder="1" applyAlignment="1">
      <alignment horizontal="center" vertical="center"/>
    </xf>
    <xf numFmtId="38" fontId="8" fillId="4" borderId="67" xfId="1" applyFont="1" applyFill="1" applyBorder="1" applyAlignment="1">
      <alignment horizontal="center" vertical="center"/>
    </xf>
    <xf numFmtId="38" fontId="19" fillId="4" borderId="0" xfId="1" applyFont="1" applyFill="1" applyAlignment="1">
      <alignment vertical="center"/>
    </xf>
    <xf numFmtId="38" fontId="8" fillId="4" borderId="0" xfId="1" applyFont="1" applyFill="1" applyAlignment="1">
      <alignment vertical="center"/>
    </xf>
    <xf numFmtId="38" fontId="6" fillId="4" borderId="33" xfId="1" applyFont="1" applyFill="1" applyBorder="1" applyAlignment="1">
      <alignment vertical="center"/>
    </xf>
    <xf numFmtId="38" fontId="8" fillId="4" borderId="37" xfId="1" applyFont="1" applyFill="1" applyBorder="1" applyAlignment="1">
      <alignment vertical="center"/>
    </xf>
    <xf numFmtId="38" fontId="8" fillId="4" borderId="38" xfId="1" applyFont="1" applyFill="1" applyBorder="1" applyAlignment="1">
      <alignment vertical="center"/>
    </xf>
    <xf numFmtId="38" fontId="8" fillId="4" borderId="39" xfId="1" applyFont="1" applyFill="1" applyBorder="1" applyAlignment="1">
      <alignment vertical="center"/>
    </xf>
    <xf numFmtId="38" fontId="8" fillId="4" borderId="64" xfId="1" applyFont="1" applyFill="1" applyBorder="1" applyAlignment="1">
      <alignment vertical="center"/>
    </xf>
    <xf numFmtId="38" fontId="8" fillId="4" borderId="41" xfId="1" applyFont="1" applyFill="1" applyBorder="1" applyAlignment="1">
      <alignment vertical="center"/>
    </xf>
    <xf numFmtId="38" fontId="8" fillId="4" borderId="68" xfId="1" applyFont="1" applyFill="1" applyBorder="1" applyAlignment="1">
      <alignment vertical="center"/>
    </xf>
    <xf numFmtId="38" fontId="8" fillId="4" borderId="37" xfId="1" applyFont="1" applyFill="1" applyBorder="1" applyAlignment="1">
      <alignment horizontal="center" vertical="center"/>
    </xf>
    <xf numFmtId="38" fontId="8" fillId="4" borderId="38" xfId="1" applyFont="1" applyFill="1" applyBorder="1" applyAlignment="1">
      <alignment horizontal="center" vertical="center"/>
    </xf>
    <xf numFmtId="38" fontId="8" fillId="4" borderId="39" xfId="1" applyFont="1" applyFill="1" applyBorder="1" applyAlignment="1">
      <alignment horizontal="center" vertical="center"/>
    </xf>
    <xf numFmtId="38" fontId="6" fillId="4" borderId="35" xfId="1" applyFont="1" applyFill="1" applyBorder="1">
      <alignment vertical="center"/>
    </xf>
    <xf numFmtId="38" fontId="6" fillId="4" borderId="55" xfId="1" applyFont="1" applyFill="1" applyBorder="1" applyAlignment="1">
      <alignment horizontal="right" vertical="center"/>
    </xf>
    <xf numFmtId="38" fontId="8" fillId="4" borderId="5" xfId="1" applyFont="1" applyFill="1" applyBorder="1">
      <alignment vertical="center"/>
    </xf>
    <xf numFmtId="38" fontId="8" fillId="4" borderId="8" xfId="1" applyFont="1" applyFill="1" applyBorder="1">
      <alignment vertical="center"/>
    </xf>
    <xf numFmtId="38" fontId="8" fillId="4" borderId="45" xfId="1" applyFont="1" applyFill="1" applyBorder="1">
      <alignment vertical="center"/>
    </xf>
    <xf numFmtId="38" fontId="8" fillId="4" borderId="44" xfId="1" applyFont="1" applyFill="1" applyBorder="1">
      <alignment vertical="center"/>
    </xf>
    <xf numFmtId="38" fontId="8" fillId="4" borderId="0" xfId="1" applyFont="1" applyFill="1" applyBorder="1">
      <alignment vertical="center"/>
    </xf>
    <xf numFmtId="38" fontId="19" fillId="4" borderId="0" xfId="1" applyFont="1" applyFill="1">
      <alignment vertical="center"/>
    </xf>
    <xf numFmtId="38" fontId="8" fillId="4" borderId="47" xfId="1" applyFont="1" applyFill="1" applyBorder="1" applyAlignment="1">
      <alignment vertical="center"/>
    </xf>
    <xf numFmtId="38" fontId="8" fillId="4" borderId="48" xfId="1" applyFont="1" applyFill="1" applyBorder="1" applyAlignment="1">
      <alignment vertical="center"/>
    </xf>
    <xf numFmtId="38" fontId="8" fillId="4" borderId="49" xfId="1" applyFont="1" applyFill="1" applyBorder="1" applyAlignment="1">
      <alignment vertical="center"/>
    </xf>
    <xf numFmtId="38" fontId="8" fillId="4" borderId="34" xfId="1" applyFont="1" applyFill="1" applyBorder="1">
      <alignment vertical="center"/>
    </xf>
    <xf numFmtId="38" fontId="8" fillId="4" borderId="46" xfId="1" applyFont="1" applyFill="1" applyBorder="1" applyAlignment="1">
      <alignment horizontal="right" vertical="center"/>
    </xf>
    <xf numFmtId="38" fontId="8" fillId="4" borderId="9" xfId="1" applyFont="1" applyFill="1" applyBorder="1">
      <alignment vertical="center"/>
    </xf>
    <xf numFmtId="38" fontId="8" fillId="4" borderId="43" xfId="1" applyFont="1" applyFill="1" applyBorder="1">
      <alignment vertical="center"/>
    </xf>
    <xf numFmtId="38" fontId="8" fillId="4" borderId="46" xfId="1" applyFont="1" applyFill="1" applyBorder="1">
      <alignment vertical="center"/>
    </xf>
    <xf numFmtId="38" fontId="8" fillId="4" borderId="10" xfId="1" applyFont="1" applyFill="1" applyBorder="1">
      <alignment vertical="center"/>
    </xf>
    <xf numFmtId="38" fontId="10" fillId="4" borderId="0" xfId="1" applyFont="1" applyFill="1">
      <alignment vertical="center"/>
    </xf>
    <xf numFmtId="38" fontId="11" fillId="4" borderId="34" xfId="1" applyFont="1" applyFill="1" applyBorder="1" applyAlignment="1">
      <alignment horizontal="right" vertical="center"/>
    </xf>
    <xf numFmtId="176" fontId="11" fillId="4" borderId="46" xfId="1" applyNumberFormat="1" applyFont="1" applyFill="1" applyBorder="1" applyAlignment="1">
      <alignment horizontal="right" vertical="center"/>
    </xf>
    <xf numFmtId="176" fontId="11" fillId="4" borderId="9" xfId="1" applyNumberFormat="1" applyFont="1" applyFill="1" applyBorder="1">
      <alignment vertical="center"/>
    </xf>
    <xf numFmtId="176" fontId="11" fillId="4" borderId="1" xfId="1" applyNumberFormat="1" applyFont="1" applyFill="1" applyBorder="1">
      <alignment vertical="center"/>
    </xf>
    <xf numFmtId="176" fontId="11" fillId="4" borderId="43" xfId="1" applyNumberFormat="1" applyFont="1" applyFill="1" applyBorder="1">
      <alignment vertical="center"/>
    </xf>
    <xf numFmtId="176" fontId="11" fillId="4" borderId="46" xfId="1" applyNumberFormat="1" applyFont="1" applyFill="1" applyBorder="1">
      <alignment vertical="center"/>
    </xf>
    <xf numFmtId="38" fontId="8" fillId="4" borderId="35" xfId="1" applyFont="1" applyFill="1" applyBorder="1">
      <alignment vertical="center"/>
    </xf>
    <xf numFmtId="38" fontId="8" fillId="4" borderId="44" xfId="1" applyFont="1" applyFill="1" applyBorder="1" applyAlignment="1">
      <alignment horizontal="right" vertical="center"/>
    </xf>
    <xf numFmtId="0" fontId="8" fillId="4" borderId="9" xfId="2" applyNumberFormat="1" applyFont="1" applyFill="1" applyBorder="1">
      <alignment vertical="center"/>
    </xf>
    <xf numFmtId="176" fontId="11" fillId="4" borderId="9" xfId="1" applyNumberFormat="1" applyFont="1" applyFill="1" applyBorder="1" applyAlignment="1">
      <alignment horizontal="right" vertical="center"/>
    </xf>
    <xf numFmtId="176" fontId="12" fillId="4" borderId="9" xfId="1" applyNumberFormat="1" applyFont="1" applyFill="1" applyBorder="1">
      <alignment vertical="center"/>
    </xf>
    <xf numFmtId="176" fontId="12" fillId="4" borderId="1" xfId="1" applyNumberFormat="1" applyFont="1" applyFill="1" applyBorder="1">
      <alignment vertical="center"/>
    </xf>
    <xf numFmtId="176" fontId="15" fillId="4" borderId="9" xfId="1" applyNumberFormat="1" applyFont="1" applyFill="1" applyBorder="1">
      <alignment vertical="center"/>
    </xf>
    <xf numFmtId="38" fontId="18" fillId="4" borderId="0" xfId="1" applyFont="1" applyFill="1">
      <alignment vertical="center"/>
    </xf>
    <xf numFmtId="38" fontId="6" fillId="4" borderId="8" xfId="1" applyFont="1" applyFill="1" applyBorder="1" applyAlignment="1">
      <alignment horizontal="right" vertical="center"/>
    </xf>
    <xf numFmtId="38" fontId="6" fillId="4" borderId="45" xfId="1" applyFont="1" applyFill="1" applyBorder="1" applyAlignment="1">
      <alignment horizontal="right" vertical="center"/>
    </xf>
    <xf numFmtId="38" fontId="8" fillId="4" borderId="8" xfId="1" applyFont="1" applyFill="1" applyBorder="1" applyAlignment="1">
      <alignment horizontal="right" vertical="center"/>
    </xf>
    <xf numFmtId="38" fontId="8" fillId="4" borderId="5" xfId="1" applyFont="1" applyFill="1" applyBorder="1" applyAlignment="1">
      <alignment horizontal="right" vertical="center"/>
    </xf>
    <xf numFmtId="38" fontId="8" fillId="4" borderId="0" xfId="1" applyFont="1" applyFill="1" applyBorder="1" applyAlignment="1">
      <alignment horizontal="right" vertical="center"/>
    </xf>
    <xf numFmtId="38" fontId="8" fillId="4" borderId="63" xfId="1" applyFont="1" applyFill="1" applyBorder="1" applyAlignment="1">
      <alignment horizontal="center" vertical="center"/>
    </xf>
    <xf numFmtId="38" fontId="8" fillId="4" borderId="62" xfId="1" applyFont="1" applyFill="1" applyBorder="1" applyAlignment="1">
      <alignment vertical="center"/>
    </xf>
    <xf numFmtId="38" fontId="8" fillId="4" borderId="45" xfId="1" applyFont="1" applyFill="1" applyBorder="1" applyAlignment="1">
      <alignment horizontal="right" vertical="center"/>
    </xf>
    <xf numFmtId="38" fontId="8" fillId="4" borderId="13" xfId="1" applyFont="1" applyFill="1" applyBorder="1" applyAlignment="1">
      <alignment horizontal="center" vertical="center"/>
    </xf>
    <xf numFmtId="38" fontId="8" fillId="4" borderId="25" xfId="1" applyFont="1" applyFill="1" applyBorder="1" applyAlignment="1">
      <alignment horizontal="center" vertical="center"/>
    </xf>
    <xf numFmtId="38" fontId="8" fillId="4" borderId="9" xfId="1" applyFont="1" applyFill="1" applyBorder="1" applyAlignment="1">
      <alignment horizontal="right" vertical="center"/>
    </xf>
    <xf numFmtId="38" fontId="8" fillId="4" borderId="1" xfId="1" applyFont="1" applyFill="1" applyBorder="1" applyAlignment="1">
      <alignment horizontal="right" vertical="center"/>
    </xf>
    <xf numFmtId="38" fontId="8" fillId="4" borderId="43" xfId="1" applyFont="1" applyFill="1" applyBorder="1" applyAlignment="1">
      <alignment horizontal="right" vertical="center"/>
    </xf>
    <xf numFmtId="38" fontId="8" fillId="4" borderId="42" xfId="1" applyFont="1" applyFill="1" applyBorder="1">
      <alignment vertical="center"/>
    </xf>
    <xf numFmtId="38" fontId="8" fillId="4" borderId="25" xfId="1" applyFont="1" applyFill="1" applyBorder="1" applyAlignment="1">
      <alignment horizontal="right" vertical="center"/>
    </xf>
    <xf numFmtId="38" fontId="8" fillId="4" borderId="42" xfId="1" applyFont="1" applyFill="1" applyBorder="1" applyAlignment="1">
      <alignment horizontal="right" vertical="center"/>
    </xf>
    <xf numFmtId="38" fontId="8" fillId="4" borderId="65" xfId="1" applyFont="1" applyFill="1" applyBorder="1" applyAlignment="1">
      <alignment vertical="center"/>
    </xf>
    <xf numFmtId="38" fontId="11" fillId="4" borderId="36" xfId="1" applyFont="1" applyFill="1" applyBorder="1" applyAlignment="1">
      <alignment horizontal="right" vertical="center"/>
    </xf>
    <xf numFmtId="176" fontId="11" fillId="4" borderId="47" xfId="1" applyNumberFormat="1" applyFont="1" applyFill="1" applyBorder="1" applyAlignment="1">
      <alignment horizontal="right" vertical="center"/>
    </xf>
    <xf numFmtId="176" fontId="11" fillId="4" borderId="48" xfId="1" applyNumberFormat="1" applyFont="1" applyFill="1" applyBorder="1">
      <alignment vertical="center"/>
    </xf>
    <xf numFmtId="176" fontId="11" fillId="4" borderId="48" xfId="1" applyNumberFormat="1" applyFont="1" applyFill="1" applyBorder="1" applyAlignment="1">
      <alignment horizontal="right" vertical="center"/>
    </xf>
    <xf numFmtId="176" fontId="11" fillId="4" borderId="49" xfId="1" applyNumberFormat="1" applyFont="1" applyFill="1" applyBorder="1">
      <alignment vertical="center"/>
    </xf>
    <xf numFmtId="176" fontId="11" fillId="4" borderId="47" xfId="1" applyNumberFormat="1" applyFont="1" applyFill="1" applyBorder="1">
      <alignment vertical="center"/>
    </xf>
    <xf numFmtId="176" fontId="12" fillId="4" borderId="48" xfId="1" applyNumberFormat="1" applyFont="1" applyFill="1" applyBorder="1">
      <alignment vertical="center"/>
    </xf>
    <xf numFmtId="176" fontId="11" fillId="4" borderId="65" xfId="1" applyNumberFormat="1" applyFont="1" applyFill="1" applyBorder="1">
      <alignment vertical="center"/>
    </xf>
    <xf numFmtId="38" fontId="6" fillId="4" borderId="0" xfId="1" applyFont="1" applyFill="1" applyAlignment="1">
      <alignment horizontal="center" vertical="center"/>
    </xf>
    <xf numFmtId="38" fontId="1" fillId="4" borderId="0" xfId="1" applyFont="1" applyFill="1" applyAlignment="1">
      <alignment horizontal="center" vertical="center"/>
    </xf>
    <xf numFmtId="38" fontId="6" fillId="4" borderId="56" xfId="1" applyFont="1" applyFill="1" applyBorder="1" applyAlignment="1">
      <alignment vertical="center"/>
    </xf>
    <xf numFmtId="38" fontId="6" fillId="4" borderId="63" xfId="1" applyFont="1" applyFill="1" applyBorder="1" applyAlignment="1">
      <alignment horizontal="right" vertical="center"/>
    </xf>
    <xf numFmtId="38" fontId="6" fillId="4" borderId="38" xfId="1" applyFont="1" applyFill="1" applyBorder="1" applyAlignment="1">
      <alignment horizontal="right" vertical="center"/>
    </xf>
    <xf numFmtId="38" fontId="6" fillId="4" borderId="38" xfId="1" applyFont="1" applyFill="1" applyBorder="1" applyAlignment="1">
      <alignment vertical="center"/>
    </xf>
    <xf numFmtId="177" fontId="6" fillId="4" borderId="38" xfId="1" applyNumberFormat="1" applyFont="1" applyFill="1" applyBorder="1" applyAlignment="1">
      <alignment vertical="center"/>
    </xf>
    <xf numFmtId="38" fontId="6" fillId="4" borderId="39" xfId="1" applyFont="1" applyFill="1" applyBorder="1" applyAlignment="1">
      <alignment vertical="center"/>
    </xf>
    <xf numFmtId="38" fontId="6" fillId="4" borderId="37" xfId="1" applyFont="1" applyFill="1" applyBorder="1" applyAlignment="1">
      <alignment vertical="center"/>
    </xf>
    <xf numFmtId="38" fontId="6" fillId="4" borderId="36" xfId="1" applyFont="1" applyFill="1" applyBorder="1" applyAlignment="1">
      <alignment vertical="center"/>
    </xf>
    <xf numFmtId="176" fontId="6" fillId="4" borderId="62" xfId="1" applyNumberFormat="1" applyFont="1" applyFill="1" applyBorder="1" applyAlignment="1">
      <alignment vertical="center"/>
    </xf>
    <xf numFmtId="176" fontId="6" fillId="4" borderId="48" xfId="1" applyNumberFormat="1" applyFont="1" applyFill="1" applyBorder="1" applyAlignment="1">
      <alignment vertical="center"/>
    </xf>
    <xf numFmtId="176" fontId="6" fillId="4" borderId="49" xfId="1" applyNumberFormat="1" applyFont="1" applyFill="1" applyBorder="1" applyAlignment="1">
      <alignment vertical="center"/>
    </xf>
    <xf numFmtId="176" fontId="6" fillId="4" borderId="47" xfId="1" applyNumberFormat="1" applyFont="1" applyFill="1" applyBorder="1" applyAlignment="1">
      <alignment vertical="center"/>
    </xf>
    <xf numFmtId="176" fontId="6" fillId="4" borderId="48" xfId="1" applyNumberFormat="1" applyFont="1" applyFill="1" applyBorder="1" applyAlignment="1">
      <alignment horizontal="right" vertical="center"/>
    </xf>
    <xf numFmtId="38" fontId="6" fillId="4" borderId="57" xfId="1" applyFont="1" applyFill="1" applyBorder="1" applyAlignment="1">
      <alignment vertical="center"/>
    </xf>
    <xf numFmtId="176" fontId="6" fillId="4" borderId="74" xfId="1" applyNumberFormat="1" applyFont="1" applyFill="1" applyBorder="1" applyAlignment="1">
      <alignment vertical="center"/>
    </xf>
    <xf numFmtId="176" fontId="6" fillId="4" borderId="7" xfId="1" applyNumberFormat="1" applyFont="1" applyFill="1" applyBorder="1" applyAlignment="1">
      <alignment vertical="center"/>
    </xf>
    <xf numFmtId="176" fontId="6" fillId="4" borderId="7" xfId="1" applyNumberFormat="1" applyFont="1" applyFill="1" applyBorder="1" applyAlignment="1">
      <alignment horizontal="right" vertical="center"/>
    </xf>
    <xf numFmtId="176" fontId="6" fillId="4" borderId="75" xfId="1" applyNumberFormat="1" applyFont="1" applyFill="1" applyBorder="1" applyAlignment="1">
      <alignment vertical="center"/>
    </xf>
    <xf numFmtId="38" fontId="6" fillId="4" borderId="0" xfId="1" applyFont="1" applyFill="1" applyBorder="1" applyAlignment="1">
      <alignment vertical="center"/>
    </xf>
    <xf numFmtId="176" fontId="6" fillId="4" borderId="0" xfId="1" applyNumberFormat="1" applyFont="1" applyFill="1" applyBorder="1" applyAlignment="1">
      <alignment vertical="center"/>
    </xf>
    <xf numFmtId="176" fontId="6" fillId="4" borderId="0" xfId="1" applyNumberFormat="1" applyFont="1" applyFill="1" applyBorder="1" applyAlignment="1">
      <alignment horizontal="right" vertical="center"/>
    </xf>
    <xf numFmtId="38" fontId="6" fillId="4" borderId="59" xfId="1" applyFont="1" applyFill="1" applyBorder="1" applyAlignment="1">
      <alignment vertical="center"/>
    </xf>
    <xf numFmtId="176" fontId="6" fillId="4" borderId="71" xfId="2" applyNumberFormat="1" applyFont="1" applyFill="1" applyBorder="1">
      <alignment vertical="center"/>
    </xf>
    <xf numFmtId="176" fontId="6" fillId="4" borderId="72" xfId="2" applyNumberFormat="1" applyFont="1" applyFill="1" applyBorder="1">
      <alignment vertical="center"/>
    </xf>
    <xf numFmtId="176" fontId="6" fillId="4" borderId="76" xfId="2" applyNumberFormat="1" applyFont="1" applyFill="1" applyBorder="1">
      <alignment vertical="center"/>
    </xf>
    <xf numFmtId="176" fontId="6" fillId="4" borderId="73" xfId="2" applyNumberFormat="1" applyFont="1" applyFill="1" applyBorder="1">
      <alignment vertical="center"/>
    </xf>
    <xf numFmtId="38" fontId="6" fillId="4" borderId="69" xfId="1" applyFont="1" applyFill="1" applyBorder="1" applyAlignment="1">
      <alignment vertical="center"/>
    </xf>
    <xf numFmtId="38" fontId="8" fillId="4" borderId="38" xfId="1" applyFont="1" applyFill="1" applyBorder="1">
      <alignment vertical="center"/>
    </xf>
    <xf numFmtId="38" fontId="8" fillId="4" borderId="68" xfId="1" applyFont="1" applyFill="1" applyBorder="1">
      <alignment vertical="center"/>
    </xf>
    <xf numFmtId="38" fontId="8" fillId="4" borderId="39" xfId="1" applyFont="1" applyFill="1" applyBorder="1">
      <alignment vertical="center"/>
    </xf>
    <xf numFmtId="38" fontId="6" fillId="4" borderId="67" xfId="1" applyFont="1" applyFill="1" applyBorder="1" applyAlignment="1">
      <alignment vertical="center"/>
    </xf>
    <xf numFmtId="176" fontId="8" fillId="4" borderId="48" xfId="1" applyNumberFormat="1" applyFont="1" applyFill="1" applyBorder="1">
      <alignment vertical="center"/>
    </xf>
    <xf numFmtId="176" fontId="8" fillId="4" borderId="65" xfId="2" applyNumberFormat="1" applyFont="1" applyFill="1" applyBorder="1">
      <alignment vertical="center"/>
    </xf>
    <xf numFmtId="176" fontId="8" fillId="4" borderId="49" xfId="2" applyNumberFormat="1" applyFont="1" applyFill="1" applyBorder="1">
      <alignment vertical="center"/>
    </xf>
    <xf numFmtId="176" fontId="6" fillId="4" borderId="0" xfId="1" applyNumberFormat="1" applyFont="1" applyFill="1" applyAlignment="1">
      <alignment horizontal="center" vertical="center"/>
    </xf>
    <xf numFmtId="38" fontId="8" fillId="4" borderId="0" xfId="1" applyFont="1" applyFill="1" applyAlignment="1">
      <alignment horizontal="right" vertical="center"/>
    </xf>
    <xf numFmtId="38" fontId="8" fillId="4" borderId="0" xfId="1" applyFont="1" applyFill="1">
      <alignment vertical="center"/>
    </xf>
    <xf numFmtId="38" fontId="0" fillId="4" borderId="0" xfId="1" applyFont="1" applyFill="1" applyAlignment="1">
      <alignment vertical="center"/>
    </xf>
    <xf numFmtId="38" fontId="6" fillId="4" borderId="38" xfId="1" applyFont="1" applyFill="1" applyBorder="1" applyAlignment="1">
      <alignment horizontal="center" vertical="center"/>
    </xf>
    <xf numFmtId="38" fontId="8" fillId="4" borderId="33" xfId="1" applyFont="1" applyFill="1" applyBorder="1" applyAlignment="1">
      <alignment vertical="center"/>
    </xf>
    <xf numFmtId="38" fontId="8" fillId="4" borderId="13" xfId="1" applyFont="1" applyFill="1" applyBorder="1">
      <alignment vertical="center"/>
    </xf>
    <xf numFmtId="38" fontId="8" fillId="4" borderId="25" xfId="1" applyFont="1" applyFill="1" applyBorder="1">
      <alignment vertical="center"/>
    </xf>
    <xf numFmtId="38" fontId="26" fillId="4" borderId="38" xfId="1" applyFont="1" applyFill="1" applyBorder="1">
      <alignment vertical="center"/>
    </xf>
    <xf numFmtId="38" fontId="8" fillId="4" borderId="34" xfId="1" applyFont="1" applyFill="1" applyBorder="1" applyAlignment="1">
      <alignment vertical="center"/>
    </xf>
    <xf numFmtId="38" fontId="8" fillId="4" borderId="31" xfId="1" applyFont="1" applyFill="1" applyBorder="1">
      <alignment vertical="center"/>
    </xf>
    <xf numFmtId="38" fontId="8" fillId="4" borderId="34" xfId="1" applyFont="1" applyFill="1" applyBorder="1" applyAlignment="1">
      <alignment horizontal="center" vertical="center"/>
    </xf>
    <xf numFmtId="38" fontId="11" fillId="4" borderId="34" xfId="1" applyFont="1" applyFill="1" applyBorder="1" applyAlignment="1">
      <alignment vertical="center"/>
    </xf>
    <xf numFmtId="38" fontId="6" fillId="4" borderId="34" xfId="1" applyFont="1" applyFill="1" applyBorder="1" applyAlignment="1">
      <alignment horizontal="center" vertical="center"/>
    </xf>
    <xf numFmtId="38" fontId="8" fillId="4" borderId="31" xfId="1" applyFont="1" applyFill="1" applyBorder="1" applyAlignment="1">
      <alignment vertical="center"/>
    </xf>
    <xf numFmtId="38" fontId="8" fillId="4" borderId="43" xfId="1" applyFont="1" applyFill="1" applyBorder="1" applyAlignment="1">
      <alignment vertical="center"/>
    </xf>
    <xf numFmtId="38" fontId="8" fillId="4" borderId="42" xfId="1" applyFont="1" applyFill="1" applyBorder="1" applyAlignment="1">
      <alignment vertical="center"/>
    </xf>
    <xf numFmtId="176" fontId="8" fillId="4" borderId="31" xfId="1" applyNumberFormat="1" applyFont="1" applyFill="1" applyBorder="1">
      <alignment vertical="center"/>
    </xf>
    <xf numFmtId="176" fontId="8" fillId="4" borderId="1" xfId="1" applyNumberFormat="1" applyFont="1" applyFill="1" applyBorder="1">
      <alignment vertical="center"/>
    </xf>
    <xf numFmtId="176" fontId="8" fillId="4" borderId="43" xfId="1" applyNumberFormat="1" applyFont="1" applyFill="1" applyBorder="1">
      <alignment vertical="center"/>
    </xf>
    <xf numFmtId="176" fontId="8" fillId="4" borderId="42" xfId="1" applyNumberFormat="1" applyFont="1" applyFill="1" applyBorder="1">
      <alignment vertical="center"/>
    </xf>
    <xf numFmtId="176" fontId="8" fillId="4" borderId="9" xfId="1" applyNumberFormat="1" applyFont="1" applyFill="1" applyBorder="1">
      <alignment vertical="center"/>
    </xf>
    <xf numFmtId="38" fontId="6" fillId="4" borderId="34" xfId="1" applyFont="1" applyFill="1" applyBorder="1" applyAlignment="1">
      <alignment vertical="center"/>
    </xf>
    <xf numFmtId="38" fontId="26" fillId="4" borderId="1" xfId="1" applyFont="1" applyFill="1" applyBorder="1">
      <alignment vertical="center"/>
    </xf>
    <xf numFmtId="38" fontId="26" fillId="4" borderId="9" xfId="1" applyFont="1" applyFill="1" applyBorder="1">
      <alignment vertical="center"/>
    </xf>
    <xf numFmtId="38" fontId="26" fillId="4" borderId="43" xfId="1" applyFont="1" applyFill="1" applyBorder="1">
      <alignment vertical="center"/>
    </xf>
    <xf numFmtId="38" fontId="28" fillId="4" borderId="0" xfId="1" applyFont="1" applyFill="1">
      <alignment vertical="center"/>
    </xf>
    <xf numFmtId="176" fontId="8" fillId="4" borderId="47" xfId="1" applyNumberFormat="1" applyFont="1" applyFill="1" applyBorder="1" applyAlignment="1">
      <alignment vertical="center"/>
    </xf>
    <xf numFmtId="176" fontId="8" fillId="4" borderId="48" xfId="1" applyNumberFormat="1" applyFont="1" applyFill="1" applyBorder="1" applyAlignment="1">
      <alignment vertical="center"/>
    </xf>
    <xf numFmtId="176" fontId="8" fillId="4" borderId="49" xfId="1" applyNumberFormat="1" applyFont="1" applyFill="1" applyBorder="1" applyAlignment="1">
      <alignment vertical="center"/>
    </xf>
    <xf numFmtId="38" fontId="6" fillId="4" borderId="0" xfId="1" applyFont="1" applyFill="1">
      <alignment vertical="center"/>
    </xf>
    <xf numFmtId="176" fontId="26" fillId="4" borderId="1" xfId="1" applyNumberFormat="1" applyFont="1" applyFill="1" applyBorder="1">
      <alignment vertical="center"/>
    </xf>
    <xf numFmtId="176" fontId="26" fillId="4" borderId="9" xfId="1" applyNumberFormat="1" applyFont="1" applyFill="1" applyBorder="1">
      <alignment vertical="center"/>
    </xf>
    <xf numFmtId="176" fontId="26" fillId="4" borderId="43" xfId="1" applyNumberFormat="1" applyFont="1" applyFill="1" applyBorder="1">
      <alignment vertical="center"/>
    </xf>
    <xf numFmtId="38" fontId="11" fillId="4" borderId="36" xfId="1" applyFont="1" applyFill="1" applyBorder="1" applyAlignment="1">
      <alignment horizontal="center" vertical="center"/>
    </xf>
    <xf numFmtId="38" fontId="8" fillId="4" borderId="62" xfId="1" applyFont="1" applyFill="1" applyBorder="1">
      <alignment vertical="center"/>
    </xf>
    <xf numFmtId="38" fontId="8" fillId="4" borderId="48" xfId="1" applyFont="1" applyFill="1" applyBorder="1">
      <alignment vertical="center"/>
    </xf>
    <xf numFmtId="38" fontId="8" fillId="4" borderId="49" xfId="1" applyFont="1" applyFill="1" applyBorder="1">
      <alignment vertical="center"/>
    </xf>
    <xf numFmtId="38" fontId="8" fillId="4" borderId="47" xfId="1" applyFont="1" applyFill="1" applyBorder="1">
      <alignment vertical="center"/>
    </xf>
    <xf numFmtId="38" fontId="26" fillId="4" borderId="48" xfId="1" applyFont="1" applyFill="1" applyBorder="1">
      <alignment vertical="center"/>
    </xf>
    <xf numFmtId="38" fontId="26" fillId="4" borderId="65" xfId="1" applyFont="1" applyFill="1" applyBorder="1">
      <alignment vertical="center"/>
    </xf>
    <xf numFmtId="38" fontId="26" fillId="4" borderId="49" xfId="1" applyFont="1" applyFill="1" applyBorder="1">
      <alignment vertical="center"/>
    </xf>
    <xf numFmtId="38" fontId="6" fillId="4" borderId="0" xfId="1" applyFont="1" applyFill="1" applyAlignment="1">
      <alignment vertical="center"/>
    </xf>
    <xf numFmtId="38" fontId="8" fillId="6" borderId="1" xfId="1" applyFont="1" applyFill="1" applyBorder="1" applyAlignment="1">
      <alignment vertical="center"/>
    </xf>
    <xf numFmtId="38" fontId="8" fillId="4" borderId="68" xfId="1" applyFont="1" applyFill="1" applyBorder="1" applyAlignment="1">
      <alignment horizontal="center" vertical="center"/>
    </xf>
    <xf numFmtId="38" fontId="8" fillId="0" borderId="38" xfId="1" applyFont="1" applyFill="1" applyBorder="1" applyAlignment="1">
      <alignment vertical="center"/>
    </xf>
    <xf numFmtId="38" fontId="8" fillId="6" borderId="63" xfId="1" applyFont="1" applyFill="1" applyBorder="1" applyAlignment="1">
      <alignment horizontal="center" vertical="center"/>
    </xf>
    <xf numFmtId="38" fontId="8" fillId="6" borderId="62" xfId="1" applyFont="1" applyFill="1" applyBorder="1" applyAlignment="1">
      <alignment vertical="center"/>
    </xf>
    <xf numFmtId="38" fontId="8" fillId="6" borderId="67" xfId="1" applyFont="1" applyFill="1" applyBorder="1" applyAlignment="1">
      <alignment vertical="center"/>
    </xf>
    <xf numFmtId="38" fontId="8" fillId="4" borderId="77" xfId="1" applyFont="1" applyFill="1" applyBorder="1" applyAlignment="1">
      <alignment horizontal="center" vertical="center"/>
    </xf>
    <xf numFmtId="38" fontId="8" fillId="4" borderId="66" xfId="1" applyFont="1" applyFill="1" applyBorder="1" applyAlignment="1">
      <alignment vertical="center"/>
    </xf>
    <xf numFmtId="38" fontId="8" fillId="6" borderId="37" xfId="1" applyFont="1" applyFill="1" applyBorder="1" applyAlignment="1">
      <alignment horizontal="center" vertical="center"/>
    </xf>
    <xf numFmtId="38" fontId="8" fillId="6" borderId="47" xfId="1" applyFont="1" applyFill="1" applyBorder="1" applyAlignment="1">
      <alignment vertical="center"/>
    </xf>
    <xf numFmtId="38" fontId="8" fillId="6" borderId="38" xfId="1" applyFont="1" applyFill="1" applyBorder="1" applyAlignment="1">
      <alignment horizontal="center" vertical="center"/>
    </xf>
    <xf numFmtId="38" fontId="8" fillId="6" borderId="48" xfId="1" applyFont="1" applyFill="1" applyBorder="1" applyAlignment="1">
      <alignment vertical="center"/>
    </xf>
    <xf numFmtId="176" fontId="8" fillId="4" borderId="62" xfId="1" applyNumberFormat="1" applyFont="1" applyFill="1" applyBorder="1" applyAlignment="1">
      <alignment vertical="center"/>
    </xf>
    <xf numFmtId="176" fontId="8" fillId="6" borderId="47" xfId="1" applyNumberFormat="1" applyFont="1" applyFill="1" applyBorder="1" applyAlignment="1">
      <alignment vertical="center"/>
    </xf>
    <xf numFmtId="38" fontId="8" fillId="6" borderId="39" xfId="1" applyFont="1" applyFill="1" applyBorder="1" applyAlignment="1">
      <alignment horizontal="center" vertical="center"/>
    </xf>
    <xf numFmtId="38" fontId="8" fillId="6" borderId="9" xfId="1" applyFont="1" applyFill="1" applyBorder="1">
      <alignment vertical="center"/>
    </xf>
    <xf numFmtId="38" fontId="8" fillId="6" borderId="69" xfId="1" applyFont="1" applyFill="1" applyBorder="1" applyAlignment="1">
      <alignment horizontal="center" vertical="center"/>
    </xf>
    <xf numFmtId="38" fontId="8" fillId="6" borderId="13" xfId="1" applyFont="1" applyFill="1" applyBorder="1" applyAlignment="1">
      <alignment horizontal="center" vertical="center"/>
    </xf>
    <xf numFmtId="38" fontId="8" fillId="6" borderId="40" xfId="1" applyFont="1" applyFill="1" applyBorder="1" applyAlignment="1">
      <alignment horizontal="center" vertical="center"/>
    </xf>
    <xf numFmtId="176" fontId="8" fillId="6" borderId="48" xfId="1" applyNumberFormat="1" applyFont="1" applyFill="1" applyBorder="1" applyAlignment="1">
      <alignment vertical="center"/>
    </xf>
    <xf numFmtId="38" fontId="8" fillId="4" borderId="38" xfId="1" applyFont="1" applyFill="1" applyBorder="1" applyAlignment="1">
      <alignment horizontal="right" vertical="center"/>
    </xf>
    <xf numFmtId="176" fontId="8" fillId="4" borderId="48" xfId="1" applyNumberFormat="1" applyFont="1" applyFill="1" applyBorder="1" applyAlignment="1">
      <alignment horizontal="right" vertical="center"/>
    </xf>
    <xf numFmtId="38" fontId="8" fillId="0" borderId="13" xfId="1" applyFont="1" applyFill="1" applyBorder="1" applyAlignment="1">
      <alignment horizontal="center" vertical="center"/>
    </xf>
    <xf numFmtId="38" fontId="8" fillId="0" borderId="62" xfId="1" applyFont="1" applyFill="1" applyBorder="1" applyAlignment="1">
      <alignment vertical="center"/>
    </xf>
    <xf numFmtId="38" fontId="8" fillId="0" borderId="63" xfId="1" applyFont="1" applyFill="1" applyBorder="1" applyAlignment="1">
      <alignment horizontal="center" vertical="center"/>
    </xf>
    <xf numFmtId="38" fontId="8" fillId="0" borderId="77" xfId="1" applyFont="1" applyFill="1" applyBorder="1" applyAlignment="1">
      <alignment horizontal="center" vertical="center"/>
    </xf>
    <xf numFmtId="38" fontId="8" fillId="0" borderId="67" xfId="1" applyFont="1" applyFill="1" applyBorder="1" applyAlignment="1">
      <alignment vertical="center"/>
    </xf>
    <xf numFmtId="38" fontId="8" fillId="0" borderId="69" xfId="1" applyFont="1" applyFill="1" applyBorder="1" applyAlignment="1">
      <alignment horizontal="center" vertical="center"/>
    </xf>
    <xf numFmtId="38" fontId="8" fillId="6" borderId="68" xfId="1" applyFont="1" applyFill="1" applyBorder="1" applyAlignment="1">
      <alignment horizontal="center" vertical="center"/>
    </xf>
    <xf numFmtId="38" fontId="8" fillId="6" borderId="65" xfId="1" applyFont="1" applyFill="1" applyBorder="1" applyAlignment="1">
      <alignment vertical="center"/>
    </xf>
    <xf numFmtId="38" fontId="8" fillId="0" borderId="38" xfId="1" applyFont="1" applyFill="1" applyBorder="1" applyAlignment="1">
      <alignment horizontal="center" vertical="center"/>
    </xf>
    <xf numFmtId="38" fontId="8" fillId="0" borderId="48" xfId="1" applyFont="1" applyFill="1" applyBorder="1" applyAlignment="1">
      <alignment vertical="center"/>
    </xf>
    <xf numFmtId="38" fontId="21" fillId="4" borderId="69" xfId="1" applyFont="1" applyFill="1" applyBorder="1" applyAlignment="1">
      <alignment horizontal="center" vertical="center"/>
    </xf>
    <xf numFmtId="38" fontId="21" fillId="4" borderId="67" xfId="1" applyFont="1" applyFill="1" applyBorder="1" applyAlignment="1">
      <alignment vertical="center"/>
    </xf>
    <xf numFmtId="38" fontId="8" fillId="6" borderId="49" xfId="1" applyFont="1" applyFill="1" applyBorder="1" applyAlignment="1">
      <alignment vertical="center"/>
    </xf>
    <xf numFmtId="38" fontId="8" fillId="0" borderId="39" xfId="1" applyFont="1" applyFill="1" applyBorder="1" applyAlignment="1">
      <alignment horizontal="center" vertical="center"/>
    </xf>
    <xf numFmtId="176" fontId="8" fillId="0" borderId="49" xfId="1" applyNumberFormat="1" applyFont="1" applyFill="1" applyBorder="1" applyAlignment="1">
      <alignment vertical="center"/>
    </xf>
    <xf numFmtId="176" fontId="8" fillId="0" borderId="48" xfId="1" applyNumberFormat="1" applyFont="1" applyFill="1" applyBorder="1" applyAlignment="1">
      <alignment vertical="center"/>
    </xf>
    <xf numFmtId="0" fontId="32" fillId="0" borderId="0" xfId="3" applyFont="1">
      <alignment vertical="center"/>
    </xf>
    <xf numFmtId="0" fontId="32" fillId="0" borderId="0" xfId="5" applyFont="1" applyAlignment="1">
      <alignment vertical="center"/>
    </xf>
    <xf numFmtId="0" fontId="32" fillId="0" borderId="0" xfId="3" applyFont="1" applyAlignment="1">
      <alignment horizontal="right" vertical="center"/>
    </xf>
    <xf numFmtId="0" fontId="33" fillId="0" borderId="0" xfId="3" applyFont="1">
      <alignment vertical="center"/>
    </xf>
    <xf numFmtId="0" fontId="32" fillId="0" borderId="10" xfId="3" applyFont="1" applyBorder="1">
      <alignment vertical="center"/>
    </xf>
    <xf numFmtId="0" fontId="32" fillId="0" borderId="0" xfId="4" applyFont="1" applyAlignment="1">
      <alignment vertical="center"/>
    </xf>
    <xf numFmtId="38" fontId="32" fillId="0" borderId="0" xfId="6" applyFont="1" applyAlignment="1">
      <alignment vertical="center"/>
    </xf>
    <xf numFmtId="0" fontId="32" fillId="0" borderId="0" xfId="5" quotePrefix="1" applyFont="1" applyAlignment="1">
      <alignment vertical="center"/>
    </xf>
    <xf numFmtId="0" fontId="32" fillId="0" borderId="0" xfId="7" applyFont="1" applyAlignment="1">
      <alignment vertical="center"/>
    </xf>
    <xf numFmtId="0" fontId="32" fillId="0" borderId="79" xfId="7" applyFont="1" applyBorder="1" applyAlignment="1">
      <alignment vertical="center"/>
    </xf>
    <xf numFmtId="178" fontId="32" fillId="0" borderId="0" xfId="6" applyNumberFormat="1" applyFont="1" applyAlignment="1">
      <alignment vertical="center"/>
    </xf>
    <xf numFmtId="0" fontId="32" fillId="0" borderId="0" xfId="9" applyFont="1" applyAlignment="1">
      <alignment vertical="center"/>
    </xf>
    <xf numFmtId="0" fontId="32" fillId="0" borderId="78" xfId="9" applyFont="1" applyBorder="1" applyAlignment="1">
      <alignment vertical="center"/>
    </xf>
    <xf numFmtId="0" fontId="32" fillId="0" borderId="12" xfId="9" applyFont="1" applyBorder="1" applyAlignment="1">
      <alignment vertical="center"/>
    </xf>
    <xf numFmtId="0" fontId="32" fillId="0" borderId="0" xfId="10" applyFont="1" applyAlignment="1">
      <alignment vertical="center"/>
    </xf>
    <xf numFmtId="0" fontId="32" fillId="0" borderId="10" xfId="10" applyFont="1" applyBorder="1" applyAlignment="1">
      <alignment vertical="center"/>
    </xf>
    <xf numFmtId="0" fontId="33" fillId="0" borderId="12" xfId="0" applyFont="1" applyBorder="1">
      <alignment vertical="center"/>
    </xf>
    <xf numFmtId="0" fontId="33" fillId="0" borderId="0" xfId="0" applyFont="1">
      <alignment vertical="center"/>
    </xf>
    <xf numFmtId="0" fontId="33" fillId="0" borderId="3" xfId="0" applyFont="1" applyBorder="1" applyAlignment="1">
      <alignment horizontal="center" vertical="center" wrapText="1"/>
    </xf>
    <xf numFmtId="176" fontId="33" fillId="0" borderId="0" xfId="1" applyNumberFormat="1" applyFont="1" applyFill="1" applyBorder="1">
      <alignment vertical="center"/>
    </xf>
    <xf numFmtId="38" fontId="33" fillId="0" borderId="0" xfId="0" applyNumberFormat="1" applyFont="1">
      <alignment vertical="center"/>
    </xf>
    <xf numFmtId="0" fontId="33" fillId="0" borderId="10" xfId="0" applyFont="1" applyBorder="1" applyAlignment="1">
      <alignment horizontal="center" vertical="center" wrapText="1"/>
    </xf>
    <xf numFmtId="0" fontId="33" fillId="7" borderId="10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10" xfId="0" applyFont="1" applyBorder="1">
      <alignment vertical="center"/>
    </xf>
    <xf numFmtId="38" fontId="33" fillId="0" borderId="0" xfId="1" applyFont="1" applyBorder="1">
      <alignment vertical="center"/>
    </xf>
    <xf numFmtId="178" fontId="32" fillId="0" borderId="0" xfId="6" applyNumberFormat="1" applyFont="1" applyBorder="1" applyAlignment="1">
      <alignment vertical="center"/>
    </xf>
    <xf numFmtId="0" fontId="33" fillId="0" borderId="0" xfId="3" applyFont="1" applyAlignment="1">
      <alignment horizontal="right" vertical="center"/>
    </xf>
    <xf numFmtId="0" fontId="32" fillId="0" borderId="3" xfId="9" applyFont="1" applyBorder="1" applyAlignment="1">
      <alignment vertical="center"/>
    </xf>
    <xf numFmtId="0" fontId="32" fillId="0" borderId="12" xfId="7" applyFont="1" applyBorder="1" applyAlignment="1">
      <alignment vertical="center"/>
    </xf>
    <xf numFmtId="0" fontId="33" fillId="0" borderId="0" xfId="7" applyFont="1" applyAlignment="1">
      <alignment vertical="center"/>
    </xf>
    <xf numFmtId="38" fontId="32" fillId="0" borderId="12" xfId="6" applyFont="1" applyBorder="1" applyAlignment="1">
      <alignment vertical="center"/>
    </xf>
    <xf numFmtId="38" fontId="33" fillId="0" borderId="0" xfId="1" applyFont="1">
      <alignment vertical="center"/>
    </xf>
    <xf numFmtId="38" fontId="32" fillId="0" borderId="0" xfId="1" applyFont="1" applyAlignment="1">
      <alignment vertical="center"/>
    </xf>
    <xf numFmtId="38" fontId="32" fillId="0" borderId="0" xfId="1" applyFont="1" applyFill="1" applyAlignment="1">
      <alignment vertical="center"/>
    </xf>
    <xf numFmtId="38" fontId="32" fillId="0" borderId="0" xfId="6" applyFont="1" applyFill="1" applyAlignment="1">
      <alignment vertical="center"/>
    </xf>
    <xf numFmtId="38" fontId="33" fillId="0" borderId="0" xfId="1" applyFont="1" applyFill="1">
      <alignment vertical="center"/>
    </xf>
    <xf numFmtId="38" fontId="32" fillId="0" borderId="0" xfId="1" applyFont="1" applyBorder="1" applyAlignment="1">
      <alignment vertical="center"/>
    </xf>
    <xf numFmtId="38" fontId="32" fillId="0" borderId="80" xfId="1" applyFont="1" applyBorder="1" applyAlignment="1">
      <alignment vertical="center"/>
    </xf>
    <xf numFmtId="0" fontId="32" fillId="0" borderId="81" xfId="4" applyFont="1" applyBorder="1" applyAlignment="1">
      <alignment vertical="center"/>
    </xf>
    <xf numFmtId="0" fontId="37" fillId="0" borderId="0" xfId="11" applyFont="1" applyAlignment="1">
      <alignment vertical="center"/>
    </xf>
    <xf numFmtId="0" fontId="37" fillId="0" borderId="0" xfId="4" applyFont="1" applyAlignment="1">
      <alignment vertical="center"/>
    </xf>
    <xf numFmtId="0" fontId="33" fillId="0" borderId="81" xfId="0" applyFont="1" applyBorder="1">
      <alignment vertical="center"/>
    </xf>
    <xf numFmtId="0" fontId="33" fillId="0" borderId="0" xfId="0" applyFont="1" applyAlignment="1">
      <alignment horizontal="right" vertical="center"/>
    </xf>
    <xf numFmtId="0" fontId="32" fillId="0" borderId="0" xfId="4" applyFont="1"/>
    <xf numFmtId="31" fontId="36" fillId="0" borderId="0" xfId="4" applyNumberFormat="1" applyFont="1" applyAlignment="1">
      <alignment vertical="center"/>
    </xf>
    <xf numFmtId="38" fontId="32" fillId="0" borderId="12" xfId="1" applyFont="1" applyFill="1" applyBorder="1" applyAlignment="1">
      <alignment vertical="center"/>
    </xf>
    <xf numFmtId="38" fontId="33" fillId="0" borderId="10" xfId="1" applyFont="1" applyFill="1" applyBorder="1">
      <alignment vertical="center"/>
    </xf>
    <xf numFmtId="38" fontId="33" fillId="0" borderId="0" xfId="1" applyFont="1" applyFill="1" applyBorder="1">
      <alignment vertical="center"/>
    </xf>
    <xf numFmtId="0" fontId="33" fillId="0" borderId="3" xfId="0" applyFont="1" applyBorder="1">
      <alignment vertical="center"/>
    </xf>
    <xf numFmtId="0" fontId="32" fillId="0" borderId="12" xfId="4" applyFont="1" applyBorder="1" applyAlignment="1">
      <alignment vertical="center"/>
    </xf>
    <xf numFmtId="0" fontId="35" fillId="0" borderId="12" xfId="4" applyFont="1" applyBorder="1" applyAlignment="1">
      <alignment vertical="center"/>
    </xf>
    <xf numFmtId="0" fontId="32" fillId="0" borderId="3" xfId="10" applyFont="1" applyBorder="1" applyAlignment="1">
      <alignment vertical="center"/>
    </xf>
    <xf numFmtId="38" fontId="32" fillId="0" borderId="3" xfId="6" applyFont="1" applyBorder="1" applyAlignment="1">
      <alignment vertical="center"/>
    </xf>
    <xf numFmtId="0" fontId="32" fillId="0" borderId="3" xfId="4" applyFont="1" applyBorder="1" applyAlignment="1">
      <alignment vertical="center"/>
    </xf>
    <xf numFmtId="0" fontId="36" fillId="0" borderId="3" xfId="4" applyFont="1" applyBorder="1" applyAlignment="1">
      <alignment vertical="center"/>
    </xf>
    <xf numFmtId="38" fontId="33" fillId="0" borderId="0" xfId="1" applyFont="1" applyFill="1" applyBorder="1" applyAlignment="1">
      <alignment vertical="center"/>
    </xf>
    <xf numFmtId="176" fontId="32" fillId="0" borderId="0" xfId="2" applyNumberFormat="1" applyFont="1" applyFill="1" applyBorder="1" applyAlignment="1">
      <alignment vertical="center"/>
    </xf>
    <xf numFmtId="40" fontId="32" fillId="0" borderId="0" xfId="1" applyNumberFormat="1" applyFont="1" applyFill="1" applyBorder="1" applyAlignment="1">
      <alignment horizontal="right" vertical="center"/>
    </xf>
    <xf numFmtId="40" fontId="32" fillId="0" borderId="0" xfId="1" applyNumberFormat="1" applyFont="1" applyBorder="1" applyAlignment="1">
      <alignment vertical="center"/>
    </xf>
    <xf numFmtId="40" fontId="32" fillId="0" borderId="0" xfId="6" applyNumberFormat="1" applyFont="1" applyBorder="1" applyAlignment="1">
      <alignment vertical="center"/>
    </xf>
    <xf numFmtId="38" fontId="33" fillId="0" borderId="0" xfId="3" applyNumberFormat="1" applyFont="1">
      <alignment vertical="center"/>
    </xf>
    <xf numFmtId="177" fontId="32" fillId="0" borderId="0" xfId="6" applyNumberFormat="1" applyFont="1" applyFill="1" applyAlignment="1">
      <alignment vertical="center"/>
    </xf>
    <xf numFmtId="38" fontId="33" fillId="0" borderId="12" xfId="1" applyFont="1" applyFill="1" applyBorder="1">
      <alignment vertical="center"/>
    </xf>
    <xf numFmtId="38" fontId="33" fillId="0" borderId="3" xfId="1" applyFont="1" applyFill="1" applyBorder="1">
      <alignment vertical="center"/>
    </xf>
    <xf numFmtId="176" fontId="33" fillId="0" borderId="10" xfId="2" applyNumberFormat="1" applyFont="1" applyFill="1" applyBorder="1">
      <alignment vertical="center"/>
    </xf>
    <xf numFmtId="38" fontId="32" fillId="0" borderId="0" xfId="1" applyFont="1" applyFill="1" applyBorder="1" applyAlignment="1">
      <alignment vertical="center"/>
    </xf>
    <xf numFmtId="38" fontId="32" fillId="0" borderId="3" xfId="1" applyFont="1" applyFill="1" applyBorder="1" applyAlignment="1">
      <alignment vertical="center"/>
    </xf>
    <xf numFmtId="0" fontId="33" fillId="0" borderId="78" xfId="0" applyFont="1" applyBorder="1">
      <alignment vertical="center"/>
    </xf>
    <xf numFmtId="38" fontId="33" fillId="0" borderId="78" xfId="1" applyFont="1" applyFill="1" applyBorder="1">
      <alignment vertical="center"/>
    </xf>
    <xf numFmtId="0" fontId="33" fillId="0" borderId="82" xfId="0" applyFont="1" applyBorder="1">
      <alignment vertical="center"/>
    </xf>
    <xf numFmtId="38" fontId="33" fillId="0" borderId="82" xfId="1" applyFont="1" applyFill="1" applyBorder="1">
      <alignment vertical="center"/>
    </xf>
    <xf numFmtId="38" fontId="33" fillId="0" borderId="82" xfId="1" applyFont="1" applyFill="1" applyBorder="1" applyAlignment="1">
      <alignment horizontal="right" vertical="center"/>
    </xf>
    <xf numFmtId="0" fontId="33" fillId="0" borderId="83" xfId="0" applyFont="1" applyBorder="1">
      <alignment vertical="center"/>
    </xf>
    <xf numFmtId="38" fontId="33" fillId="0" borderId="83" xfId="1" applyFont="1" applyFill="1" applyBorder="1">
      <alignment vertical="center"/>
    </xf>
    <xf numFmtId="38" fontId="33" fillId="0" borderId="78" xfId="1" applyFont="1" applyFill="1" applyBorder="1" applyAlignment="1">
      <alignment horizontal="right" vertical="center"/>
    </xf>
    <xf numFmtId="0" fontId="33" fillId="0" borderId="80" xfId="0" applyFont="1" applyBorder="1">
      <alignment vertical="center"/>
    </xf>
    <xf numFmtId="38" fontId="33" fillId="0" borderId="80" xfId="1" applyFont="1" applyFill="1" applyBorder="1" applyAlignment="1">
      <alignment vertical="center"/>
    </xf>
    <xf numFmtId="38" fontId="33" fillId="0" borderId="80" xfId="1" applyFont="1" applyFill="1" applyBorder="1">
      <alignment vertical="center"/>
    </xf>
    <xf numFmtId="38" fontId="33" fillId="0" borderId="80" xfId="1" applyFont="1" applyBorder="1">
      <alignment vertical="center"/>
    </xf>
    <xf numFmtId="38" fontId="33" fillId="0" borderId="82" xfId="1" applyFont="1" applyFill="1" applyBorder="1" applyAlignment="1">
      <alignment vertical="center"/>
    </xf>
    <xf numFmtId="176" fontId="33" fillId="0" borderId="82" xfId="1" applyNumberFormat="1" applyFont="1" applyFill="1" applyBorder="1">
      <alignment vertical="center"/>
    </xf>
    <xf numFmtId="38" fontId="33" fillId="0" borderId="83" xfId="1" applyFont="1" applyFill="1" applyBorder="1" applyAlignment="1">
      <alignment vertical="center"/>
    </xf>
    <xf numFmtId="176" fontId="33" fillId="0" borderId="83" xfId="1" applyNumberFormat="1" applyFont="1" applyFill="1" applyBorder="1">
      <alignment vertical="center"/>
    </xf>
    <xf numFmtId="38" fontId="33" fillId="0" borderId="82" xfId="1" applyFont="1" applyFill="1" applyBorder="1" applyAlignment="1">
      <alignment vertical="center" wrapText="1"/>
    </xf>
    <xf numFmtId="0" fontId="32" fillId="0" borderId="78" xfId="3" applyFont="1" applyBorder="1">
      <alignment vertical="center"/>
    </xf>
    <xf numFmtId="0" fontId="32" fillId="0" borderId="83" xfId="3" applyFont="1" applyBorder="1">
      <alignment vertical="center"/>
    </xf>
    <xf numFmtId="38" fontId="32" fillId="0" borderId="78" xfId="1" applyFont="1" applyFill="1" applyBorder="1" applyAlignment="1">
      <alignment horizontal="right" vertical="center"/>
    </xf>
    <xf numFmtId="0" fontId="32" fillId="0" borderId="78" xfId="7" applyFont="1" applyBorder="1" applyAlignment="1">
      <alignment vertical="center"/>
    </xf>
    <xf numFmtId="0" fontId="32" fillId="0" borderId="82" xfId="7" applyFont="1" applyBorder="1" applyAlignment="1">
      <alignment vertical="center"/>
    </xf>
    <xf numFmtId="0" fontId="32" fillId="0" borderId="83" xfId="8" applyFont="1" applyBorder="1" applyAlignment="1">
      <alignment vertical="center"/>
    </xf>
    <xf numFmtId="0" fontId="32" fillId="0" borderId="84" xfId="7" applyFont="1" applyBorder="1" applyAlignment="1">
      <alignment vertical="center"/>
    </xf>
    <xf numFmtId="0" fontId="32" fillId="0" borderId="83" xfId="7" applyFont="1" applyBorder="1" applyAlignment="1">
      <alignment vertical="center"/>
    </xf>
    <xf numFmtId="38" fontId="32" fillId="0" borderId="82" xfId="1" applyFont="1" applyBorder="1" applyAlignment="1">
      <alignment vertical="center"/>
    </xf>
    <xf numFmtId="38" fontId="32" fillId="0" borderId="83" xfId="1" applyFont="1" applyBorder="1" applyAlignment="1">
      <alignment vertical="center"/>
    </xf>
    <xf numFmtId="38" fontId="32" fillId="0" borderId="82" xfId="1" applyFont="1" applyFill="1" applyBorder="1" applyAlignment="1">
      <alignment horizontal="right" vertical="center"/>
    </xf>
    <xf numFmtId="0" fontId="32" fillId="0" borderId="80" xfId="9" applyFont="1" applyBorder="1" applyAlignment="1">
      <alignment vertical="center"/>
    </xf>
    <xf numFmtId="0" fontId="32" fillId="0" borderId="82" xfId="9" applyFont="1" applyBorder="1" applyAlignment="1">
      <alignment vertical="center"/>
    </xf>
    <xf numFmtId="0" fontId="32" fillId="0" borderId="83" xfId="9" applyFont="1" applyBorder="1" applyAlignment="1">
      <alignment vertical="center"/>
    </xf>
    <xf numFmtId="0" fontId="33" fillId="0" borderId="83" xfId="3" applyFont="1" applyBorder="1">
      <alignment vertical="center"/>
    </xf>
    <xf numFmtId="0" fontId="33" fillId="0" borderId="78" xfId="3" applyFont="1" applyBorder="1">
      <alignment vertical="center"/>
    </xf>
    <xf numFmtId="0" fontId="32" fillId="0" borderId="78" xfId="10" applyFont="1" applyBorder="1" applyAlignment="1">
      <alignment vertical="center"/>
    </xf>
    <xf numFmtId="0" fontId="32" fillId="0" borderId="82" xfId="10" applyFont="1" applyBorder="1" applyAlignment="1">
      <alignment vertical="center"/>
    </xf>
    <xf numFmtId="0" fontId="32" fillId="0" borderId="83" xfId="10" applyFont="1" applyBorder="1" applyAlignment="1">
      <alignment vertical="center"/>
    </xf>
    <xf numFmtId="176" fontId="33" fillId="0" borderId="82" xfId="2" applyNumberFormat="1" applyFont="1" applyFill="1" applyBorder="1" applyAlignment="1">
      <alignment horizontal="right" vertical="center"/>
    </xf>
    <xf numFmtId="0" fontId="33" fillId="0" borderId="79" xfId="0" applyFont="1" applyBorder="1">
      <alignment vertical="center"/>
    </xf>
    <xf numFmtId="0" fontId="39" fillId="0" borderId="0" xfId="3" applyFont="1">
      <alignment vertical="center"/>
    </xf>
    <xf numFmtId="0" fontId="32" fillId="0" borderId="82" xfId="3" applyFont="1" applyBorder="1">
      <alignment vertical="center"/>
    </xf>
    <xf numFmtId="0" fontId="32" fillId="0" borderId="80" xfId="0" applyFont="1" applyBorder="1">
      <alignment vertical="center"/>
    </xf>
    <xf numFmtId="38" fontId="32" fillId="0" borderId="12" xfId="1" applyFont="1" applyFill="1" applyBorder="1">
      <alignment vertical="center"/>
    </xf>
    <xf numFmtId="38" fontId="32" fillId="0" borderId="78" xfId="1" applyFont="1" applyFill="1" applyBorder="1">
      <alignment vertical="center"/>
    </xf>
    <xf numFmtId="38" fontId="32" fillId="0" borderId="82" xfId="1" applyFont="1" applyFill="1" applyBorder="1">
      <alignment vertical="center"/>
    </xf>
    <xf numFmtId="38" fontId="32" fillId="0" borderId="10" xfId="1" applyFont="1" applyFill="1" applyBorder="1">
      <alignment vertical="center"/>
    </xf>
    <xf numFmtId="38" fontId="32" fillId="0" borderId="80" xfId="1" applyFont="1" applyFill="1" applyBorder="1">
      <alignment vertical="center"/>
    </xf>
    <xf numFmtId="38" fontId="33" fillId="0" borderId="79" xfId="1" applyFont="1" applyFill="1" applyBorder="1">
      <alignment vertical="center"/>
    </xf>
    <xf numFmtId="176" fontId="32" fillId="0" borderId="83" xfId="1" applyNumberFormat="1" applyFont="1" applyFill="1" applyBorder="1">
      <alignment vertical="center"/>
    </xf>
    <xf numFmtId="38" fontId="32" fillId="0" borderId="78" xfId="1" applyFont="1" applyFill="1" applyBorder="1" applyAlignment="1">
      <alignment vertical="center"/>
    </xf>
    <xf numFmtId="38" fontId="32" fillId="0" borderId="82" xfId="1" applyFont="1" applyFill="1" applyBorder="1" applyAlignment="1">
      <alignment vertical="center"/>
    </xf>
    <xf numFmtId="176" fontId="32" fillId="0" borderId="83" xfId="2" applyNumberFormat="1" applyFont="1" applyFill="1" applyBorder="1" applyAlignment="1">
      <alignment vertical="center"/>
    </xf>
    <xf numFmtId="38" fontId="32" fillId="0" borderId="83" xfId="1" applyFont="1" applyFill="1" applyBorder="1" applyAlignment="1">
      <alignment vertical="center"/>
    </xf>
    <xf numFmtId="38" fontId="32" fillId="0" borderId="10" xfId="1" applyFont="1" applyFill="1" applyBorder="1" applyAlignment="1">
      <alignment horizontal="right" vertical="center"/>
    </xf>
    <xf numFmtId="38" fontId="33" fillId="0" borderId="83" xfId="1" applyFont="1" applyFill="1" applyBorder="1" applyAlignment="1">
      <alignment horizontal="right" vertical="center"/>
    </xf>
    <xf numFmtId="38" fontId="32" fillId="0" borderId="83" xfId="1" applyFont="1" applyFill="1" applyBorder="1" applyAlignment="1">
      <alignment horizontal="right" vertical="center"/>
    </xf>
    <xf numFmtId="176" fontId="33" fillId="0" borderId="83" xfId="2" applyNumberFormat="1" applyFont="1" applyFill="1" applyBorder="1" applyAlignment="1">
      <alignment horizontal="right" vertical="center"/>
    </xf>
    <xf numFmtId="38" fontId="32" fillId="0" borderId="12" xfId="6" applyFont="1" applyFill="1" applyBorder="1" applyAlignment="1">
      <alignment vertical="center"/>
    </xf>
    <xf numFmtId="38" fontId="32" fillId="0" borderId="83" xfId="1" applyFont="1" applyFill="1" applyBorder="1">
      <alignment vertical="center"/>
    </xf>
    <xf numFmtId="178" fontId="32" fillId="0" borderId="0" xfId="6" applyNumberFormat="1" applyFont="1" applyFill="1" applyBorder="1" applyAlignment="1">
      <alignment vertical="center"/>
    </xf>
    <xf numFmtId="38" fontId="32" fillId="0" borderId="80" xfId="1" applyFont="1" applyFill="1" applyBorder="1" applyAlignment="1">
      <alignment vertical="center"/>
    </xf>
    <xf numFmtId="40" fontId="32" fillId="0" borderId="3" xfId="6" applyNumberFormat="1" applyFont="1" applyFill="1" applyBorder="1" applyAlignment="1">
      <alignment vertical="center"/>
    </xf>
    <xf numFmtId="40" fontId="32" fillId="0" borderId="0" xfId="6" applyNumberFormat="1" applyFont="1" applyFill="1" applyAlignment="1">
      <alignment vertical="center"/>
    </xf>
    <xf numFmtId="38" fontId="32" fillId="0" borderId="0" xfId="1" applyFont="1" applyFill="1">
      <alignment vertical="center"/>
    </xf>
    <xf numFmtId="177" fontId="32" fillId="0" borderId="80" xfId="1" applyNumberFormat="1" applyFont="1" applyFill="1" applyBorder="1" applyAlignment="1">
      <alignment horizontal="right" vertical="center"/>
    </xf>
    <xf numFmtId="0" fontId="32" fillId="0" borderId="80" xfId="6" applyNumberFormat="1" applyFont="1" applyFill="1" applyBorder="1" applyAlignment="1">
      <alignment horizontal="right" vertical="center"/>
    </xf>
    <xf numFmtId="177" fontId="32" fillId="0" borderId="82" xfId="1" applyNumberFormat="1" applyFont="1" applyFill="1" applyBorder="1" applyAlignment="1">
      <alignment horizontal="right" vertical="center"/>
    </xf>
    <xf numFmtId="177" fontId="32" fillId="0" borderId="82" xfId="1" applyNumberFormat="1" applyFont="1" applyFill="1" applyBorder="1" applyAlignment="1">
      <alignment vertical="center"/>
    </xf>
    <xf numFmtId="0" fontId="32" fillId="0" borderId="82" xfId="1" applyNumberFormat="1" applyFont="1" applyFill="1" applyBorder="1" applyAlignment="1">
      <alignment vertical="center"/>
    </xf>
    <xf numFmtId="179" fontId="32" fillId="0" borderId="82" xfId="2" applyNumberFormat="1" applyFont="1" applyFill="1" applyBorder="1" applyAlignment="1">
      <alignment horizontal="right" vertical="center"/>
    </xf>
    <xf numFmtId="177" fontId="32" fillId="0" borderId="83" xfId="1" applyNumberFormat="1" applyFont="1" applyFill="1" applyBorder="1" applyAlignment="1">
      <alignment horizontal="right" vertical="center"/>
    </xf>
    <xf numFmtId="177" fontId="32" fillId="0" borderId="83" xfId="1" applyNumberFormat="1" applyFont="1" applyFill="1" applyBorder="1" applyAlignment="1">
      <alignment vertical="center"/>
    </xf>
    <xf numFmtId="179" fontId="32" fillId="0" borderId="83" xfId="6" applyNumberFormat="1" applyFont="1" applyFill="1" applyBorder="1" applyAlignment="1">
      <alignment horizontal="right" vertical="center"/>
    </xf>
    <xf numFmtId="179" fontId="32" fillId="0" borderId="78" xfId="6" applyNumberFormat="1" applyFont="1" applyFill="1" applyBorder="1" applyAlignment="1">
      <alignment horizontal="right" vertical="center"/>
    </xf>
    <xf numFmtId="179" fontId="33" fillId="0" borderId="83" xfId="3" applyNumberFormat="1" applyFont="1" applyBorder="1">
      <alignment vertical="center"/>
    </xf>
    <xf numFmtId="0" fontId="32" fillId="0" borderId="83" xfId="6" applyNumberFormat="1" applyFont="1" applyFill="1" applyBorder="1" applyAlignment="1">
      <alignment horizontal="right" vertical="center"/>
    </xf>
    <xf numFmtId="40" fontId="32" fillId="0" borderId="78" xfId="1" applyNumberFormat="1" applyFont="1" applyFill="1" applyBorder="1" applyAlignment="1">
      <alignment horizontal="right" vertical="center"/>
    </xf>
    <xf numFmtId="40" fontId="32" fillId="0" borderId="78" xfId="1" applyNumberFormat="1" applyFont="1" applyFill="1" applyBorder="1" applyAlignment="1">
      <alignment vertical="center"/>
    </xf>
    <xf numFmtId="40" fontId="32" fillId="0" borderId="83" xfId="1" applyNumberFormat="1" applyFont="1" applyFill="1" applyBorder="1" applyAlignment="1">
      <alignment horizontal="right" vertical="center"/>
    </xf>
    <xf numFmtId="40" fontId="32" fillId="0" borderId="83" xfId="1" applyNumberFormat="1" applyFont="1" applyFill="1" applyBorder="1" applyAlignment="1">
      <alignment vertical="center"/>
    </xf>
    <xf numFmtId="0" fontId="32" fillId="0" borderId="83" xfId="6" applyNumberFormat="1" applyFont="1" applyFill="1" applyBorder="1" applyAlignment="1">
      <alignment vertical="center"/>
    </xf>
    <xf numFmtId="40" fontId="32" fillId="0" borderId="0" xfId="1" applyNumberFormat="1" applyFont="1" applyFill="1" applyBorder="1" applyAlignment="1">
      <alignment vertical="center"/>
    </xf>
    <xf numFmtId="40" fontId="32" fillId="0" borderId="0" xfId="6" applyNumberFormat="1" applyFont="1" applyFill="1" applyBorder="1" applyAlignment="1">
      <alignment vertical="center"/>
    </xf>
    <xf numFmtId="40" fontId="32" fillId="0" borderId="12" xfId="6" applyNumberFormat="1" applyFont="1" applyFill="1" applyBorder="1" applyAlignment="1">
      <alignment vertical="center"/>
    </xf>
    <xf numFmtId="176" fontId="32" fillId="0" borderId="82" xfId="2" applyNumberFormat="1" applyFont="1" applyFill="1" applyBorder="1" applyAlignment="1">
      <alignment vertical="center"/>
    </xf>
    <xf numFmtId="176" fontId="32" fillId="0" borderId="82" xfId="2" applyNumberFormat="1" applyFont="1" applyFill="1" applyBorder="1">
      <alignment vertical="center"/>
    </xf>
    <xf numFmtId="180" fontId="32" fillId="0" borderId="83" xfId="6" applyNumberFormat="1" applyFont="1" applyFill="1" applyBorder="1" applyAlignment="1">
      <alignment horizontal="right" vertical="center"/>
    </xf>
    <xf numFmtId="38" fontId="32" fillId="0" borderId="85" xfId="1" applyFont="1" applyFill="1" applyBorder="1" applyAlignment="1">
      <alignment vertical="center"/>
    </xf>
    <xf numFmtId="38" fontId="32" fillId="0" borderId="80" xfId="1" applyFont="1" applyFill="1" applyBorder="1" applyAlignment="1">
      <alignment horizontal="right" vertical="center"/>
    </xf>
    <xf numFmtId="0" fontId="40" fillId="0" borderId="80" xfId="9" applyFont="1" applyBorder="1" applyAlignment="1">
      <alignment vertical="center"/>
    </xf>
    <xf numFmtId="38" fontId="33" fillId="0" borderId="12" xfId="1" applyFont="1" applyBorder="1">
      <alignment vertical="center"/>
    </xf>
    <xf numFmtId="181" fontId="33" fillId="0" borderId="12" xfId="1" applyNumberFormat="1" applyFont="1" applyBorder="1">
      <alignment vertical="center"/>
    </xf>
    <xf numFmtId="38" fontId="33" fillId="0" borderId="3" xfId="1" applyFont="1" applyBorder="1">
      <alignment vertical="center"/>
    </xf>
    <xf numFmtId="181" fontId="33" fillId="0" borderId="3" xfId="1" applyNumberFormat="1" applyFont="1" applyBorder="1">
      <alignment vertical="center"/>
    </xf>
    <xf numFmtId="38" fontId="33" fillId="0" borderId="82" xfId="1" applyFont="1" applyBorder="1">
      <alignment vertical="center"/>
    </xf>
    <xf numFmtId="181" fontId="33" fillId="0" borderId="82" xfId="1" applyNumberFormat="1" applyFont="1" applyBorder="1">
      <alignment vertical="center"/>
    </xf>
    <xf numFmtId="181" fontId="33" fillId="0" borderId="0" xfId="1" applyNumberFormat="1" applyFont="1" applyBorder="1">
      <alignment vertical="center"/>
    </xf>
    <xf numFmtId="181" fontId="33" fillId="0" borderId="82" xfId="1" applyNumberFormat="1" applyFont="1" applyBorder="1" applyAlignment="1">
      <alignment horizontal="right" vertical="center"/>
    </xf>
    <xf numFmtId="38" fontId="33" fillId="0" borderId="82" xfId="1" applyFont="1" applyBorder="1" applyAlignment="1">
      <alignment horizontal="right" vertical="center"/>
    </xf>
    <xf numFmtId="181" fontId="33" fillId="0" borderId="10" xfId="1" applyNumberFormat="1" applyFont="1" applyFill="1" applyBorder="1">
      <alignment vertical="center"/>
    </xf>
    <xf numFmtId="181" fontId="33" fillId="0" borderId="0" xfId="1" applyNumberFormat="1" applyFont="1" applyFill="1" applyBorder="1">
      <alignment vertical="center"/>
    </xf>
    <xf numFmtId="181" fontId="33" fillId="0" borderId="82" xfId="1" applyNumberFormat="1" applyFont="1" applyFill="1" applyBorder="1" applyAlignment="1">
      <alignment horizontal="right" vertical="center"/>
    </xf>
    <xf numFmtId="38" fontId="33" fillId="0" borderId="0" xfId="1" applyFont="1" applyFill="1" applyBorder="1" applyAlignment="1">
      <alignment horizontal="right" vertical="center"/>
    </xf>
    <xf numFmtId="181" fontId="33" fillId="0" borderId="0" xfId="1" applyNumberFormat="1" applyFont="1" applyFill="1" applyBorder="1" applyAlignment="1">
      <alignment horizontal="right" vertical="center"/>
    </xf>
    <xf numFmtId="181" fontId="33" fillId="0" borderId="82" xfId="1" applyNumberFormat="1" applyFont="1" applyFill="1" applyBorder="1">
      <alignment vertical="center"/>
    </xf>
    <xf numFmtId="181" fontId="33" fillId="0" borderId="12" xfId="1" applyNumberFormat="1" applyFont="1" applyFill="1" applyBorder="1">
      <alignment vertical="center"/>
    </xf>
    <xf numFmtId="181" fontId="33" fillId="0" borderId="3" xfId="1" applyNumberFormat="1" applyFont="1" applyFill="1" applyBorder="1">
      <alignment vertical="center"/>
    </xf>
    <xf numFmtId="181" fontId="33" fillId="0" borderId="80" xfId="1" applyNumberFormat="1" applyFont="1" applyFill="1" applyBorder="1">
      <alignment vertical="center"/>
    </xf>
    <xf numFmtId="181" fontId="33" fillId="0" borderId="79" xfId="1" applyNumberFormat="1" applyFont="1" applyFill="1" applyBorder="1">
      <alignment vertical="center"/>
    </xf>
    <xf numFmtId="176" fontId="33" fillId="0" borderId="86" xfId="2" applyNumberFormat="1" applyFont="1" applyFill="1" applyBorder="1">
      <alignment vertical="center"/>
    </xf>
    <xf numFmtId="176" fontId="33" fillId="0" borderId="87" xfId="2" applyNumberFormat="1" applyFont="1" applyFill="1" applyBorder="1">
      <alignment vertical="center"/>
    </xf>
    <xf numFmtId="38" fontId="33" fillId="0" borderId="12" xfId="1" applyFont="1" applyFill="1" applyBorder="1" applyAlignment="1">
      <alignment vertical="center"/>
    </xf>
    <xf numFmtId="176" fontId="33" fillId="0" borderId="12" xfId="1" applyNumberFormat="1" applyFont="1" applyFill="1" applyBorder="1">
      <alignment vertical="center"/>
    </xf>
    <xf numFmtId="40" fontId="33" fillId="0" borderId="0" xfId="1" applyNumberFormat="1" applyFont="1" applyFill="1" applyBorder="1">
      <alignment vertical="center"/>
    </xf>
    <xf numFmtId="38" fontId="33" fillId="0" borderId="3" xfId="1" applyFont="1" applyFill="1" applyBorder="1" applyAlignment="1">
      <alignment vertical="center"/>
    </xf>
    <xf numFmtId="0" fontId="32" fillId="0" borderId="3" xfId="3" applyFont="1" applyBorder="1">
      <alignment vertical="center"/>
    </xf>
    <xf numFmtId="176" fontId="32" fillId="0" borderId="0" xfId="2" applyNumberFormat="1" applyFont="1" applyFill="1" applyAlignment="1">
      <alignment vertical="center"/>
    </xf>
    <xf numFmtId="0" fontId="32" fillId="0" borderId="3" xfId="7" applyFont="1" applyBorder="1" applyAlignment="1">
      <alignment vertical="center"/>
    </xf>
    <xf numFmtId="38" fontId="32" fillId="0" borderId="0" xfId="6" applyFont="1" applyFill="1" applyBorder="1" applyAlignment="1">
      <alignment vertical="center"/>
    </xf>
    <xf numFmtId="182" fontId="32" fillId="0" borderId="78" xfId="6" applyNumberFormat="1" applyFont="1" applyFill="1" applyBorder="1" applyAlignment="1">
      <alignment horizontal="right" vertical="center"/>
    </xf>
    <xf numFmtId="179" fontId="32" fillId="0" borderId="82" xfId="6" applyNumberFormat="1" applyFont="1" applyFill="1" applyBorder="1" applyAlignment="1">
      <alignment vertical="center"/>
    </xf>
    <xf numFmtId="177" fontId="32" fillId="0" borderId="12" xfId="6" applyNumberFormat="1" applyFont="1" applyFill="1" applyBorder="1" applyAlignment="1">
      <alignment horizontal="right" vertical="center"/>
    </xf>
    <xf numFmtId="182" fontId="32" fillId="0" borderId="12" xfId="6" applyNumberFormat="1" applyFont="1" applyFill="1" applyBorder="1" applyAlignment="1">
      <alignment horizontal="right" vertical="center"/>
    </xf>
    <xf numFmtId="40" fontId="32" fillId="0" borderId="78" xfId="6" applyNumberFormat="1" applyFont="1" applyFill="1" applyBorder="1" applyAlignment="1">
      <alignment horizontal="right" vertical="center"/>
    </xf>
    <xf numFmtId="178" fontId="32" fillId="0" borderId="3" xfId="6" applyNumberFormat="1" applyFont="1" applyFill="1" applyBorder="1" applyAlignment="1">
      <alignment vertical="center"/>
    </xf>
    <xf numFmtId="38" fontId="32" fillId="0" borderId="79" xfId="1" applyFont="1" applyFill="1" applyBorder="1" applyAlignment="1">
      <alignment horizontal="right" vertical="center"/>
    </xf>
    <xf numFmtId="38" fontId="32" fillId="0" borderId="79" xfId="1" applyFont="1" applyFill="1" applyBorder="1" applyAlignment="1">
      <alignment vertical="center"/>
    </xf>
    <xf numFmtId="176" fontId="33" fillId="0" borderId="12" xfId="2" applyNumberFormat="1" applyFont="1" applyFill="1" applyBorder="1" applyAlignment="1">
      <alignment horizontal="right" vertical="center"/>
    </xf>
    <xf numFmtId="176" fontId="33" fillId="0" borderId="0" xfId="2" applyNumberFormat="1" applyFont="1">
      <alignment vertical="center"/>
    </xf>
    <xf numFmtId="178" fontId="32" fillId="0" borderId="78" xfId="6" applyNumberFormat="1" applyFont="1" applyFill="1" applyBorder="1" applyAlignment="1">
      <alignment horizontal="right" vertical="center"/>
    </xf>
    <xf numFmtId="178" fontId="32" fillId="0" borderId="82" xfId="6" applyNumberFormat="1" applyFont="1" applyFill="1" applyBorder="1" applyAlignment="1">
      <alignment horizontal="right" vertical="center"/>
    </xf>
    <xf numFmtId="176" fontId="32" fillId="0" borderId="83" xfId="2" applyNumberFormat="1" applyFont="1" applyFill="1" applyBorder="1" applyAlignment="1">
      <alignment horizontal="right" vertical="center"/>
    </xf>
    <xf numFmtId="38" fontId="32" fillId="0" borderId="12" xfId="1" applyFont="1" applyFill="1" applyBorder="1" applyAlignment="1">
      <alignment horizontal="right" vertical="center"/>
    </xf>
    <xf numFmtId="38" fontId="0" fillId="4" borderId="0" xfId="1" applyFont="1" applyFill="1" applyBorder="1" applyAlignment="1">
      <alignment horizontal="center" vertical="center"/>
    </xf>
    <xf numFmtId="38" fontId="8" fillId="4" borderId="50" xfId="1" applyFont="1" applyFill="1" applyBorder="1" applyAlignment="1">
      <alignment horizontal="center" vertical="center"/>
    </xf>
    <xf numFmtId="38" fontId="8" fillId="4" borderId="51" xfId="1" applyFont="1" applyFill="1" applyBorder="1" applyAlignment="1">
      <alignment horizontal="center" vertical="center"/>
    </xf>
    <xf numFmtId="38" fontId="0" fillId="4" borderId="0" xfId="1" applyFont="1" applyFill="1" applyAlignment="1">
      <alignment horizontal="center" vertical="center"/>
    </xf>
    <xf numFmtId="38" fontId="8" fillId="4" borderId="52" xfId="1" applyFont="1" applyFill="1" applyBorder="1" applyAlignment="1">
      <alignment horizontal="center" vertical="center"/>
    </xf>
    <xf numFmtId="38" fontId="8" fillId="4" borderId="53" xfId="1" applyFont="1" applyFill="1" applyBorder="1" applyAlignment="1">
      <alignment horizontal="center" vertical="center"/>
    </xf>
    <xf numFmtId="38" fontId="8" fillId="4" borderId="54" xfId="1" applyFont="1" applyFill="1" applyBorder="1" applyAlignment="1">
      <alignment horizontal="center" vertical="center"/>
    </xf>
    <xf numFmtId="38" fontId="8" fillId="4" borderId="68" xfId="1" applyFont="1" applyFill="1" applyBorder="1" applyAlignment="1">
      <alignment horizontal="center" vertical="center"/>
    </xf>
    <xf numFmtId="38" fontId="8" fillId="4" borderId="63" xfId="1" applyFont="1" applyFill="1" applyBorder="1" applyAlignment="1">
      <alignment horizontal="center" vertical="center"/>
    </xf>
    <xf numFmtId="38" fontId="18" fillId="4" borderId="0" xfId="1" applyFont="1" applyFill="1" applyAlignment="1">
      <alignment horizontal="center" vertical="center"/>
    </xf>
    <xf numFmtId="38" fontId="18" fillId="4" borderId="0" xfId="1" applyFont="1" applyFill="1" applyBorder="1" applyAlignment="1">
      <alignment horizontal="center" vertical="center"/>
    </xf>
    <xf numFmtId="38" fontId="8" fillId="4" borderId="70" xfId="1" applyFont="1" applyFill="1" applyBorder="1" applyAlignment="1">
      <alignment horizontal="center" vertical="center"/>
    </xf>
    <xf numFmtId="38" fontId="8" fillId="4" borderId="32" xfId="1" applyFont="1" applyFill="1" applyBorder="1" applyAlignment="1">
      <alignment horizontal="center" vertical="center"/>
    </xf>
    <xf numFmtId="38" fontId="8" fillId="4" borderId="58" xfId="1" applyFont="1" applyFill="1" applyBorder="1" applyAlignment="1">
      <alignment horizontal="center" vertical="center"/>
    </xf>
    <xf numFmtId="38" fontId="8" fillId="4" borderId="56" xfId="1" applyFont="1" applyFill="1" applyBorder="1" applyAlignment="1">
      <alignment horizontal="center" vertical="center"/>
    </xf>
    <xf numFmtId="38" fontId="8" fillId="4" borderId="36" xfId="1" applyFont="1" applyFill="1" applyBorder="1" applyAlignment="1">
      <alignment horizontal="center" vertical="center"/>
    </xf>
    <xf numFmtId="38" fontId="8" fillId="4" borderId="33" xfId="1" applyFont="1" applyFill="1" applyBorder="1" applyAlignment="1">
      <alignment horizontal="center" vertical="center"/>
    </xf>
    <xf numFmtId="38" fontId="8" fillId="4" borderId="44" xfId="1" applyFont="1" applyFill="1" applyBorder="1" applyAlignment="1">
      <alignment horizontal="center" vertical="center"/>
    </xf>
    <xf numFmtId="38" fontId="0" fillId="0" borderId="0" xfId="1" applyFont="1" applyAlignment="1">
      <alignment horizontal="center" vertical="center"/>
    </xf>
    <xf numFmtId="38" fontId="0" fillId="0" borderId="0" xfId="1" applyFont="1" applyBorder="1" applyAlignment="1">
      <alignment horizontal="center" vertical="center"/>
    </xf>
    <xf numFmtId="38" fontId="18" fillId="0" borderId="50" xfId="1" applyFont="1" applyBorder="1" applyAlignment="1">
      <alignment horizontal="center" vertical="center"/>
    </xf>
    <xf numFmtId="38" fontId="18" fillId="0" borderId="51" xfId="1" applyFont="1" applyBorder="1" applyAlignment="1">
      <alignment horizontal="center" vertical="center"/>
    </xf>
    <xf numFmtId="38" fontId="0" fillId="0" borderId="12" xfId="1" applyFont="1" applyBorder="1" applyAlignment="1">
      <alignment horizontal="center" vertical="center"/>
    </xf>
    <xf numFmtId="38" fontId="8" fillId="0" borderId="2" xfId="1" applyFont="1" applyBorder="1" applyAlignment="1">
      <alignment horizontal="center" vertical="center"/>
    </xf>
    <xf numFmtId="38" fontId="8" fillId="0" borderId="4" xfId="1" applyFont="1" applyBorder="1" applyAlignment="1">
      <alignment horizontal="center" vertical="center"/>
    </xf>
    <xf numFmtId="38" fontId="8" fillId="0" borderId="7" xfId="1" applyFont="1" applyFill="1" applyBorder="1" applyAlignment="1">
      <alignment horizontal="center" vertical="center"/>
    </xf>
    <xf numFmtId="38" fontId="8" fillId="0" borderId="25" xfId="1" applyFont="1" applyFill="1" applyBorder="1" applyAlignment="1">
      <alignment horizontal="center" vertical="center"/>
    </xf>
    <xf numFmtId="38" fontId="8" fillId="0" borderId="3" xfId="1" applyFont="1" applyBorder="1" applyAlignment="1">
      <alignment horizontal="center" vertical="center"/>
    </xf>
    <xf numFmtId="38" fontId="8" fillId="0" borderId="57" xfId="1" applyFont="1" applyFill="1" applyBorder="1" applyAlignment="1">
      <alignment horizontal="center" vertical="center"/>
    </xf>
    <xf numFmtId="38" fontId="8" fillId="0" borderId="58" xfId="1" applyFont="1" applyFill="1" applyBorder="1" applyAlignment="1">
      <alignment horizontal="center" vertical="center"/>
    </xf>
    <xf numFmtId="38" fontId="8" fillId="0" borderId="56" xfId="1" applyFont="1" applyFill="1" applyBorder="1" applyAlignment="1">
      <alignment horizontal="center" vertical="center"/>
    </xf>
    <xf numFmtId="38" fontId="8" fillId="0" borderId="34" xfId="1" applyFont="1" applyFill="1" applyBorder="1" applyAlignment="1">
      <alignment horizontal="center" vertical="center"/>
    </xf>
    <xf numFmtId="38" fontId="8" fillId="0" borderId="36" xfId="1" applyFont="1" applyFill="1" applyBorder="1" applyAlignment="1">
      <alignment horizontal="center" vertical="center"/>
    </xf>
    <xf numFmtId="38" fontId="8" fillId="0" borderId="56" xfId="1" applyFont="1" applyBorder="1" applyAlignment="1">
      <alignment horizontal="center" vertical="center"/>
    </xf>
    <xf numFmtId="38" fontId="8" fillId="0" borderId="36" xfId="1" applyFont="1" applyBorder="1" applyAlignment="1">
      <alignment horizontal="center" vertical="center"/>
    </xf>
    <xf numFmtId="38" fontId="18" fillId="0" borderId="52" xfId="1" applyFont="1" applyBorder="1" applyAlignment="1">
      <alignment horizontal="center" vertical="center"/>
    </xf>
    <xf numFmtId="38" fontId="8" fillId="0" borderId="32" xfId="1" applyFont="1" applyFill="1" applyBorder="1" applyAlignment="1">
      <alignment horizontal="center" vertical="center"/>
    </xf>
    <xf numFmtId="38" fontId="8" fillId="0" borderId="33" xfId="1" applyFont="1" applyFill="1" applyBorder="1" applyAlignment="1">
      <alignment horizontal="center" vertical="center"/>
    </xf>
    <xf numFmtId="38" fontId="18" fillId="0" borderId="54" xfId="1" applyFont="1" applyBorder="1" applyAlignment="1">
      <alignment horizontal="center" vertical="center"/>
    </xf>
    <xf numFmtId="38" fontId="18" fillId="0" borderId="53" xfId="1" applyFont="1" applyBorder="1" applyAlignment="1">
      <alignment horizontal="center" vertical="center"/>
    </xf>
    <xf numFmtId="38" fontId="0" fillId="2" borderId="7" xfId="1" applyFont="1" applyFill="1" applyBorder="1" applyAlignment="1">
      <alignment vertical="center"/>
    </xf>
    <xf numFmtId="38" fontId="0" fillId="2" borderId="25" xfId="1" applyFont="1" applyFill="1" applyBorder="1" applyAlignment="1">
      <alignment vertical="center"/>
    </xf>
    <xf numFmtId="38" fontId="0" fillId="2" borderId="15" xfId="1" applyFont="1" applyFill="1" applyBorder="1" applyAlignment="1">
      <alignment vertical="center"/>
    </xf>
    <xf numFmtId="38" fontId="0" fillId="2" borderId="17" xfId="1" applyFont="1" applyFill="1" applyBorder="1" applyAlignment="1">
      <alignment vertical="center"/>
    </xf>
    <xf numFmtId="38" fontId="0" fillId="2" borderId="2" xfId="1" applyFont="1" applyFill="1" applyBorder="1" applyAlignment="1">
      <alignment horizontal="center" vertical="center"/>
    </xf>
    <xf numFmtId="38" fontId="0" fillId="2" borderId="3" xfId="1" applyFont="1" applyFill="1" applyBorder="1" applyAlignment="1">
      <alignment horizontal="center" vertical="center"/>
    </xf>
    <xf numFmtId="38" fontId="0" fillId="2" borderId="15" xfId="1" applyFont="1" applyFill="1" applyBorder="1" applyAlignment="1">
      <alignment horizontal="center" vertical="center"/>
    </xf>
    <xf numFmtId="38" fontId="0" fillId="2" borderId="6" xfId="1" applyFont="1" applyFill="1" applyBorder="1" applyAlignment="1">
      <alignment horizontal="center" vertical="center"/>
    </xf>
    <xf numFmtId="38" fontId="0" fillId="2" borderId="12" xfId="1" applyFont="1" applyFill="1" applyBorder="1" applyAlignment="1">
      <alignment horizontal="center" vertical="center"/>
    </xf>
    <xf numFmtId="38" fontId="0" fillId="2" borderId="17" xfId="1" applyFont="1" applyFill="1" applyBorder="1" applyAlignment="1">
      <alignment horizontal="center" vertical="center"/>
    </xf>
    <xf numFmtId="38" fontId="0" fillId="2" borderId="3" xfId="1" applyFont="1" applyFill="1" applyBorder="1" applyAlignment="1">
      <alignment vertical="center"/>
    </xf>
    <xf numFmtId="38" fontId="0" fillId="2" borderId="12" xfId="1" applyFont="1" applyFill="1" applyBorder="1" applyAlignment="1">
      <alignment vertical="center"/>
    </xf>
    <xf numFmtId="38" fontId="0" fillId="2" borderId="14" xfId="1" applyFont="1" applyFill="1" applyBorder="1" applyAlignment="1">
      <alignment vertical="center"/>
    </xf>
    <xf numFmtId="38" fontId="0" fillId="2" borderId="16" xfId="1" applyFont="1" applyFill="1" applyBorder="1" applyAlignment="1">
      <alignment vertical="center"/>
    </xf>
    <xf numFmtId="38" fontId="0" fillId="2" borderId="29" xfId="1" applyFont="1" applyFill="1" applyBorder="1" applyAlignment="1">
      <alignment vertical="center"/>
    </xf>
    <xf numFmtId="38" fontId="0" fillId="2" borderId="28" xfId="1" applyFont="1" applyFill="1" applyBorder="1" applyAlignment="1">
      <alignment vertical="center"/>
    </xf>
    <xf numFmtId="38" fontId="0" fillId="2" borderId="27" xfId="1" applyFont="1" applyFill="1" applyBorder="1" applyAlignment="1">
      <alignment vertical="center"/>
    </xf>
    <xf numFmtId="38" fontId="0" fillId="2" borderId="24" xfId="1" applyFont="1" applyFill="1" applyBorder="1" applyAlignment="1">
      <alignment vertical="center"/>
    </xf>
    <xf numFmtId="38" fontId="0" fillId="2" borderId="9" xfId="1" applyFont="1" applyFill="1" applyBorder="1" applyAlignment="1">
      <alignment horizontal="center" vertical="center"/>
    </xf>
    <xf numFmtId="38" fontId="0" fillId="2" borderId="10" xfId="1" applyFont="1" applyFill="1" applyBorder="1" applyAlignment="1">
      <alignment horizontal="center" vertical="center"/>
    </xf>
    <xf numFmtId="38" fontId="0" fillId="2" borderId="21" xfId="1" applyFont="1" applyFill="1" applyBorder="1" applyAlignment="1">
      <alignment horizontal="center" vertical="center"/>
    </xf>
    <xf numFmtId="38" fontId="0" fillId="0" borderId="14" xfId="1" applyFont="1" applyBorder="1" applyAlignment="1">
      <alignment horizontal="center" vertical="center"/>
    </xf>
    <xf numFmtId="38" fontId="0" fillId="0" borderId="16" xfId="1" applyFont="1" applyBorder="1" applyAlignment="1">
      <alignment horizontal="center" vertical="center"/>
    </xf>
    <xf numFmtId="38" fontId="0" fillId="0" borderId="20" xfId="1" applyFont="1" applyBorder="1" applyAlignment="1">
      <alignment horizontal="center" vertical="center"/>
    </xf>
    <xf numFmtId="38" fontId="0" fillId="0" borderId="10" xfId="1" applyFont="1" applyBorder="1" applyAlignment="1">
      <alignment horizontal="center" vertical="center"/>
    </xf>
    <xf numFmtId="38" fontId="0" fillId="0" borderId="21" xfId="1" applyFont="1" applyBorder="1" applyAlignment="1">
      <alignment horizontal="center" vertical="center"/>
    </xf>
    <xf numFmtId="38" fontId="0" fillId="0" borderId="7" xfId="1" applyFont="1" applyBorder="1" applyAlignment="1">
      <alignment horizontal="center" vertical="center"/>
    </xf>
    <xf numFmtId="38" fontId="0" fillId="0" borderId="25" xfId="1" applyFont="1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38" fontId="0" fillId="0" borderId="6" xfId="1" applyFont="1" applyBorder="1" applyAlignment="1">
      <alignment horizontal="center" vertical="center"/>
    </xf>
  </cellXfs>
  <cellStyles count="14">
    <cellStyle name="パーセント" xfId="2" builtinId="5"/>
    <cellStyle name="桁区切り" xfId="1" builtinId="6"/>
    <cellStyle name="桁区切り 2" xfId="6" xr:uid="{2FEB82C9-B772-438D-BB9D-F11F1418E3E2}"/>
    <cellStyle name="桁区切り 3" xfId="13" xr:uid="{5220091E-6019-49A8-BB94-07221686A17C}"/>
    <cellStyle name="標準" xfId="0" builtinId="0"/>
    <cellStyle name="標準 2" xfId="3" xr:uid="{CE6EA1B5-D96C-449C-B7EC-F72DF430294A}"/>
    <cellStyle name="標準 2 2" xfId="4" xr:uid="{CCCA6C7F-8080-4E48-AC17-E93A7B462174}"/>
    <cellStyle name="標準 3" xfId="11" xr:uid="{B05EAD81-C41C-463E-B573-93BD6C043788}"/>
    <cellStyle name="標準 4" xfId="12" xr:uid="{5A70B010-5102-4BA9-9F5A-E8957046D00C}"/>
    <cellStyle name="標準_海外ｸﾞ" xfId="8" xr:uid="{B661D489-3B39-4057-95A1-B0321D2FE69F}"/>
    <cellStyle name="標準_国内ｸﾞ1" xfId="7" xr:uid="{893B792A-B7AE-424B-942D-C63CD35F904A}"/>
    <cellStyle name="標準_主要" xfId="5" xr:uid="{A56C4E8B-0668-44C0-8655-15133CBDBB44}"/>
    <cellStyle name="標準_受注単_1" xfId="10" xr:uid="{FB059A3C-F4C6-4199-8F50-49AE8A5A7B19}"/>
    <cellStyle name="標準_連補足" xfId="9" xr:uid="{51691D09-3419-447F-B06C-1430E172DCCF}"/>
  </cellStyles>
  <dxfs count="0"/>
  <tableStyles count="0" defaultTableStyle="TableStyleMedium2" defaultPivotStyle="PivotStyleLight16"/>
  <colors>
    <mruColors>
      <color rgb="FFFFCCFF"/>
      <color rgb="FF3333FF"/>
      <color rgb="FFFFFFCC"/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3BFEA-DCD7-491D-A537-984778704F22}">
  <sheetPr>
    <pageSetUpPr fitToPage="1"/>
  </sheetPr>
  <dimension ref="A1:S32"/>
  <sheetViews>
    <sheetView tabSelected="1" view="pageBreakPreview" zoomScaleNormal="115" zoomScaleSheetLayoutView="100" workbookViewId="0">
      <selection activeCell="I10" sqref="I10"/>
    </sheetView>
  </sheetViews>
  <sheetFormatPr defaultColWidth="9.109375" defaultRowHeight="12.6"/>
  <cols>
    <col min="1" max="16384" width="9.109375" style="447"/>
  </cols>
  <sheetData>
    <row r="1" spans="1:19" ht="18.75" customHeight="1">
      <c r="A1" s="435"/>
      <c r="B1" s="435"/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35"/>
      <c r="N1" s="435"/>
      <c r="O1" s="435"/>
      <c r="P1" s="435"/>
      <c r="Q1" s="435"/>
      <c r="R1" s="435"/>
      <c r="S1" s="435"/>
    </row>
    <row r="2" spans="1:19" ht="54" customHeight="1">
      <c r="A2" s="480"/>
      <c r="B2" s="481" t="s">
        <v>0</v>
      </c>
      <c r="C2" s="480"/>
      <c r="D2" s="480"/>
      <c r="E2" s="480"/>
      <c r="F2" s="480"/>
      <c r="G2" s="480"/>
      <c r="H2" s="480"/>
      <c r="I2" s="480"/>
      <c r="K2" s="435"/>
      <c r="L2" s="435"/>
      <c r="M2" s="435"/>
      <c r="N2" s="435"/>
      <c r="O2" s="435"/>
      <c r="P2" s="435"/>
      <c r="Q2" s="435"/>
      <c r="R2" s="435"/>
      <c r="S2" s="435"/>
    </row>
    <row r="3" spans="1:19" ht="54" customHeight="1">
      <c r="A3" s="484"/>
      <c r="B3" s="485" t="s">
        <v>848</v>
      </c>
      <c r="C3" s="484"/>
      <c r="D3" s="484"/>
      <c r="E3" s="484"/>
      <c r="F3" s="484"/>
      <c r="G3" s="484"/>
      <c r="H3" s="484"/>
      <c r="I3" s="484"/>
      <c r="K3" s="435"/>
      <c r="L3" s="435"/>
      <c r="M3" s="435"/>
      <c r="N3" s="435"/>
      <c r="O3" s="435"/>
      <c r="P3" s="435"/>
      <c r="Q3" s="435"/>
      <c r="R3" s="435"/>
      <c r="S3" s="435"/>
    </row>
    <row r="4" spans="1:19" ht="18" customHeight="1" thickBot="1">
      <c r="A4" s="435"/>
      <c r="B4" s="469"/>
      <c r="C4" s="469"/>
      <c r="D4" s="469"/>
      <c r="E4" s="469"/>
      <c r="F4" s="469"/>
      <c r="G4" s="469"/>
      <c r="H4" s="469"/>
      <c r="I4" s="435"/>
      <c r="J4" s="435"/>
      <c r="K4" s="435"/>
      <c r="L4" s="435"/>
      <c r="M4" s="435"/>
      <c r="N4" s="435"/>
      <c r="O4" s="435"/>
      <c r="P4" s="435"/>
      <c r="Q4" s="435"/>
      <c r="R4" s="435"/>
      <c r="S4" s="435"/>
    </row>
    <row r="5" spans="1:19" ht="18" customHeight="1">
      <c r="A5" s="435"/>
      <c r="B5" s="435"/>
      <c r="C5" s="435"/>
      <c r="D5" s="435"/>
      <c r="E5" s="435"/>
      <c r="F5" s="435"/>
      <c r="G5" s="435"/>
      <c r="H5" s="435"/>
      <c r="I5" s="435"/>
      <c r="J5" s="435"/>
      <c r="K5" s="435"/>
      <c r="L5" s="435"/>
      <c r="M5" s="435"/>
      <c r="N5" s="435"/>
      <c r="O5" s="435"/>
      <c r="P5" s="435"/>
      <c r="Q5" s="435"/>
      <c r="R5" s="435"/>
      <c r="S5" s="435"/>
    </row>
    <row r="6" spans="1:19" ht="18" customHeight="1">
      <c r="B6" s="470" t="s">
        <v>1</v>
      </c>
      <c r="C6" s="470"/>
      <c r="D6" s="470"/>
      <c r="E6" s="470"/>
      <c r="F6" s="471" t="s">
        <v>2</v>
      </c>
      <c r="G6" s="470" t="s">
        <v>3</v>
      </c>
      <c r="I6" s="435"/>
      <c r="J6" s="435"/>
      <c r="L6" s="470"/>
      <c r="M6" s="470"/>
      <c r="N6" s="470"/>
      <c r="O6" s="470"/>
      <c r="P6" s="471"/>
      <c r="Q6" s="470"/>
      <c r="R6" s="435"/>
      <c r="S6" s="435"/>
    </row>
    <row r="7" spans="1:19" ht="18" customHeight="1">
      <c r="I7" s="435"/>
      <c r="J7" s="435"/>
      <c r="L7" s="470"/>
      <c r="M7" s="470"/>
      <c r="N7" s="470"/>
      <c r="O7" s="470"/>
      <c r="P7" s="471"/>
      <c r="Q7" s="470"/>
      <c r="R7" s="435"/>
      <c r="S7" s="435"/>
    </row>
    <row r="8" spans="1:19" ht="18" customHeight="1">
      <c r="B8" s="470" t="s">
        <v>4</v>
      </c>
      <c r="C8" s="470"/>
      <c r="D8" s="470"/>
      <c r="E8" s="470"/>
      <c r="F8" s="471" t="s">
        <v>2</v>
      </c>
      <c r="G8" s="470" t="s">
        <v>5</v>
      </c>
      <c r="I8" s="435"/>
      <c r="J8" s="435"/>
      <c r="L8" s="435"/>
      <c r="M8" s="435"/>
      <c r="N8" s="435"/>
      <c r="O8" s="435"/>
      <c r="P8" s="435"/>
      <c r="Q8" s="435"/>
      <c r="R8" s="435"/>
      <c r="S8" s="435"/>
    </row>
    <row r="9" spans="1:19" ht="18" customHeight="1">
      <c r="I9" s="435"/>
      <c r="J9" s="435"/>
      <c r="L9" s="470"/>
      <c r="M9" s="470"/>
      <c r="N9" s="470"/>
      <c r="O9" s="470"/>
      <c r="P9" s="471"/>
      <c r="Q9" s="470"/>
      <c r="R9" s="435"/>
      <c r="S9" s="435"/>
    </row>
    <row r="10" spans="1:19" ht="18" customHeight="1">
      <c r="B10" s="470" t="s">
        <v>6</v>
      </c>
      <c r="C10" s="470"/>
      <c r="D10" s="470"/>
      <c r="E10" s="470"/>
      <c r="F10" s="471" t="s">
        <v>2</v>
      </c>
      <c r="G10" s="470" t="s">
        <v>7</v>
      </c>
      <c r="I10" s="435"/>
      <c r="J10" s="435"/>
      <c r="L10" s="435"/>
      <c r="M10" s="435"/>
      <c r="N10" s="435"/>
      <c r="O10" s="435"/>
      <c r="P10" s="435"/>
      <c r="Q10" s="435"/>
      <c r="R10" s="435"/>
      <c r="S10" s="435"/>
    </row>
    <row r="11" spans="1:19" ht="18" customHeight="1">
      <c r="B11" s="470"/>
      <c r="C11" s="470"/>
      <c r="D11" s="470"/>
      <c r="E11" s="470"/>
      <c r="F11" s="471"/>
      <c r="G11" s="470"/>
      <c r="I11" s="435"/>
      <c r="J11" s="435"/>
      <c r="L11" s="435"/>
      <c r="M11" s="435"/>
      <c r="N11" s="435"/>
      <c r="O11" s="435"/>
      <c r="P11" s="435"/>
      <c r="Q11" s="435"/>
      <c r="R11" s="435"/>
      <c r="S11" s="435"/>
    </row>
    <row r="12" spans="1:19" ht="18" customHeight="1">
      <c r="B12" s="471" t="s">
        <v>8</v>
      </c>
      <c r="C12" s="471"/>
      <c r="D12" s="471"/>
      <c r="E12" s="471"/>
      <c r="F12" s="471" t="s">
        <v>2</v>
      </c>
      <c r="G12" s="470" t="s">
        <v>9</v>
      </c>
      <c r="I12" s="435"/>
      <c r="J12" s="435"/>
      <c r="L12" s="470"/>
      <c r="M12" s="470"/>
      <c r="N12" s="470"/>
      <c r="O12" s="470"/>
      <c r="P12" s="471"/>
      <c r="Q12" s="470"/>
      <c r="R12" s="435"/>
      <c r="S12" s="435"/>
    </row>
    <row r="13" spans="1:19" ht="18" customHeight="1">
      <c r="B13" s="470"/>
      <c r="C13" s="470"/>
      <c r="D13" s="470"/>
      <c r="E13" s="470"/>
      <c r="F13" s="471"/>
      <c r="G13" s="470"/>
      <c r="I13" s="435"/>
      <c r="J13" s="435"/>
      <c r="L13" s="435"/>
      <c r="M13" s="435"/>
      <c r="N13" s="435"/>
      <c r="O13" s="435"/>
      <c r="P13" s="435"/>
      <c r="Q13" s="435"/>
      <c r="R13" s="435"/>
      <c r="S13" s="435"/>
    </row>
    <row r="14" spans="1:19" ht="18" customHeight="1">
      <c r="B14" s="471" t="s">
        <v>10</v>
      </c>
      <c r="C14" s="471"/>
      <c r="D14" s="471"/>
      <c r="E14" s="471"/>
      <c r="F14" s="471" t="s">
        <v>2</v>
      </c>
      <c r="G14" s="470" t="s">
        <v>11</v>
      </c>
      <c r="I14" s="435"/>
      <c r="J14" s="435"/>
      <c r="L14" s="470"/>
      <c r="M14" s="470"/>
      <c r="N14" s="470"/>
      <c r="O14" s="470"/>
      <c r="P14" s="471"/>
      <c r="Q14" s="470"/>
      <c r="R14" s="435"/>
      <c r="S14" s="435"/>
    </row>
    <row r="15" spans="1:19" ht="18" customHeight="1">
      <c r="B15" s="435"/>
      <c r="C15" s="435"/>
      <c r="D15" s="435"/>
      <c r="E15" s="435"/>
      <c r="F15" s="435"/>
      <c r="G15" s="435"/>
      <c r="I15" s="435"/>
      <c r="J15" s="435"/>
      <c r="L15" s="470"/>
      <c r="M15" s="470"/>
      <c r="N15" s="470"/>
      <c r="O15" s="470"/>
      <c r="P15" s="471"/>
      <c r="Q15" s="470"/>
      <c r="R15" s="435"/>
      <c r="S15" s="435"/>
    </row>
    <row r="16" spans="1:19" ht="18" customHeight="1">
      <c r="B16" s="470" t="s">
        <v>12</v>
      </c>
      <c r="C16" s="470"/>
      <c r="D16" s="470"/>
      <c r="E16" s="470"/>
      <c r="F16" s="471" t="s">
        <v>2</v>
      </c>
      <c r="G16" s="470" t="s">
        <v>13</v>
      </c>
      <c r="I16" s="435"/>
      <c r="J16" s="435"/>
      <c r="R16" s="435"/>
      <c r="S16" s="435"/>
    </row>
    <row r="17" spans="1:19" ht="18" customHeight="1">
      <c r="B17" s="435"/>
      <c r="C17" s="435"/>
      <c r="D17" s="435"/>
      <c r="E17" s="435"/>
      <c r="F17" s="435"/>
      <c r="G17" s="435"/>
      <c r="I17" s="435"/>
      <c r="J17" s="435"/>
      <c r="L17" s="470"/>
      <c r="M17" s="470"/>
      <c r="N17" s="470"/>
      <c r="O17" s="470"/>
      <c r="P17" s="471"/>
      <c r="Q17" s="470"/>
      <c r="R17" s="435"/>
      <c r="S17" s="435"/>
    </row>
    <row r="18" spans="1:19" ht="18" customHeight="1">
      <c r="B18" s="470" t="s">
        <v>14</v>
      </c>
      <c r="C18" s="470"/>
      <c r="D18" s="470"/>
      <c r="E18" s="470"/>
      <c r="F18" s="471" t="s">
        <v>2</v>
      </c>
      <c r="G18" s="470" t="s">
        <v>15</v>
      </c>
      <c r="I18" s="435"/>
      <c r="J18" s="435"/>
      <c r="R18" s="435"/>
      <c r="S18" s="435"/>
    </row>
    <row r="19" spans="1:19" ht="18" customHeight="1">
      <c r="A19" s="435"/>
      <c r="B19" s="435"/>
      <c r="C19" s="435"/>
      <c r="D19" s="435"/>
      <c r="E19" s="435"/>
      <c r="F19" s="435"/>
      <c r="G19" s="435"/>
      <c r="I19" s="435"/>
      <c r="J19" s="435"/>
      <c r="L19" s="470"/>
      <c r="M19" s="470"/>
      <c r="N19" s="470"/>
      <c r="O19" s="470"/>
      <c r="P19" s="471"/>
      <c r="Q19" s="470"/>
      <c r="R19" s="435"/>
      <c r="S19" s="435"/>
    </row>
    <row r="20" spans="1:19" ht="18" customHeight="1">
      <c r="B20" s="470" t="s">
        <v>16</v>
      </c>
      <c r="F20" s="471" t="s">
        <v>2</v>
      </c>
      <c r="G20" s="470" t="s">
        <v>17</v>
      </c>
      <c r="I20" s="435"/>
      <c r="J20" s="435"/>
      <c r="K20" s="435"/>
      <c r="L20" s="470"/>
      <c r="M20" s="470"/>
      <c r="N20" s="470"/>
      <c r="O20" s="470"/>
      <c r="P20" s="471"/>
      <c r="Q20" s="470"/>
      <c r="R20" s="435"/>
      <c r="S20" s="435"/>
    </row>
    <row r="21" spans="1:19" ht="18" customHeight="1">
      <c r="B21" s="470"/>
      <c r="F21" s="471"/>
      <c r="G21" s="470"/>
      <c r="I21" s="435"/>
      <c r="J21" s="435"/>
      <c r="K21" s="435"/>
      <c r="L21" s="470"/>
      <c r="M21" s="470"/>
      <c r="N21" s="470"/>
      <c r="O21" s="470"/>
      <c r="P21" s="471"/>
      <c r="Q21" s="470"/>
      <c r="R21" s="435"/>
      <c r="S21" s="435"/>
    </row>
    <row r="22" spans="1:19" ht="18" customHeight="1">
      <c r="B22" s="470" t="s">
        <v>18</v>
      </c>
      <c r="C22" s="470"/>
      <c r="D22" s="470"/>
      <c r="E22" s="470"/>
      <c r="F22" s="471" t="s">
        <v>2</v>
      </c>
      <c r="G22" s="470" t="s">
        <v>19</v>
      </c>
      <c r="I22" s="435"/>
      <c r="J22" s="435"/>
      <c r="K22" s="435"/>
      <c r="L22" s="470"/>
      <c r="M22" s="470"/>
      <c r="N22" s="470"/>
      <c r="O22" s="470"/>
      <c r="P22" s="471"/>
      <c r="Q22" s="470"/>
      <c r="R22" s="435"/>
      <c r="S22" s="435"/>
    </row>
    <row r="23" spans="1:19" ht="18" customHeight="1">
      <c r="B23" s="470"/>
      <c r="C23" s="470"/>
      <c r="D23" s="470"/>
      <c r="E23" s="470"/>
      <c r="F23" s="471"/>
      <c r="G23" s="470"/>
      <c r="I23" s="435"/>
      <c r="J23" s="435"/>
      <c r="K23" s="435"/>
      <c r="L23" s="470"/>
      <c r="M23" s="470"/>
      <c r="N23" s="470"/>
      <c r="O23" s="470"/>
      <c r="P23" s="471"/>
      <c r="Q23" s="470"/>
      <c r="R23" s="435"/>
      <c r="S23" s="435"/>
    </row>
    <row r="24" spans="1:19" ht="18" customHeight="1">
      <c r="B24" s="470" t="s">
        <v>20</v>
      </c>
      <c r="C24" s="470"/>
      <c r="D24" s="470"/>
      <c r="E24" s="470"/>
      <c r="F24" s="471" t="s">
        <v>2</v>
      </c>
      <c r="G24" s="470" t="s">
        <v>21</v>
      </c>
      <c r="I24" s="435"/>
      <c r="J24" s="435"/>
      <c r="K24" s="435"/>
      <c r="L24" s="470"/>
      <c r="M24" s="470"/>
      <c r="N24" s="470"/>
      <c r="O24" s="470"/>
      <c r="P24" s="471"/>
      <c r="Q24" s="470"/>
      <c r="R24" s="435"/>
      <c r="S24" s="435"/>
    </row>
    <row r="25" spans="1:19" ht="18" customHeight="1">
      <c r="B25" s="470"/>
      <c r="C25" s="470"/>
      <c r="D25" s="470"/>
      <c r="E25" s="470"/>
      <c r="F25" s="471"/>
      <c r="G25" s="470"/>
      <c r="I25" s="435"/>
      <c r="J25" s="435"/>
      <c r="K25" s="435"/>
      <c r="L25" s="470"/>
      <c r="M25" s="470"/>
      <c r="N25" s="470"/>
      <c r="O25" s="470"/>
      <c r="P25" s="471"/>
      <c r="Q25" s="470"/>
      <c r="R25" s="435"/>
      <c r="S25" s="435"/>
    </row>
    <row r="26" spans="1:19" ht="18" customHeight="1">
      <c r="B26" s="470" t="s">
        <v>22</v>
      </c>
      <c r="C26" s="470"/>
      <c r="D26" s="470"/>
      <c r="E26" s="470"/>
      <c r="F26" s="471" t="s">
        <v>2</v>
      </c>
      <c r="G26" s="470" t="s">
        <v>23</v>
      </c>
      <c r="I26" s="435"/>
      <c r="J26" s="435"/>
      <c r="K26" s="435"/>
      <c r="L26" s="470"/>
      <c r="M26" s="470"/>
      <c r="N26" s="470"/>
      <c r="O26" s="470"/>
      <c r="P26" s="471"/>
      <c r="Q26" s="470"/>
      <c r="R26" s="435"/>
      <c r="S26" s="435"/>
    </row>
    <row r="27" spans="1:19" ht="18" customHeight="1" thickBot="1">
      <c r="B27" s="472"/>
      <c r="C27" s="472"/>
      <c r="D27" s="472"/>
      <c r="E27" s="472"/>
      <c r="F27" s="472"/>
      <c r="G27" s="472"/>
      <c r="H27" s="472"/>
      <c r="I27" s="435"/>
      <c r="J27" s="435"/>
      <c r="K27" s="435"/>
      <c r="L27" s="435"/>
      <c r="M27" s="435"/>
      <c r="N27" s="435"/>
      <c r="O27" s="435"/>
      <c r="P27" s="435"/>
      <c r="Q27" s="435"/>
      <c r="R27" s="435"/>
      <c r="S27" s="435"/>
    </row>
    <row r="28" spans="1:19" ht="18" customHeight="1">
      <c r="A28" s="435"/>
      <c r="I28" s="435"/>
      <c r="J28" s="435"/>
      <c r="K28" s="435"/>
      <c r="L28" s="435"/>
      <c r="M28" s="435"/>
      <c r="N28" s="435"/>
      <c r="O28" s="435"/>
      <c r="P28" s="435"/>
      <c r="Q28" s="435"/>
      <c r="R28" s="435"/>
      <c r="S28" s="435"/>
    </row>
    <row r="29" spans="1:19" ht="18" customHeight="1">
      <c r="A29" s="435"/>
      <c r="B29" s="473"/>
      <c r="G29" s="474"/>
      <c r="H29" s="435"/>
      <c r="I29" s="435"/>
      <c r="J29" s="435"/>
      <c r="M29" s="435"/>
      <c r="N29" s="435"/>
      <c r="O29" s="435"/>
      <c r="P29" s="435"/>
      <c r="Q29" s="435"/>
      <c r="R29" s="435"/>
      <c r="S29" s="435"/>
    </row>
    <row r="30" spans="1:19" ht="54" customHeight="1">
      <c r="B30" s="475" t="s">
        <v>24</v>
      </c>
      <c r="R30" s="475"/>
      <c r="S30" s="475"/>
    </row>
    <row r="31" spans="1:19" ht="18" customHeight="1">
      <c r="B31" s="471"/>
      <c r="I31" s="435"/>
      <c r="K31" s="435"/>
      <c r="L31" s="435"/>
      <c r="M31" s="435"/>
      <c r="N31" s="435"/>
      <c r="O31" s="435"/>
      <c r="P31" s="435"/>
      <c r="Q31" s="435"/>
      <c r="R31" s="435"/>
      <c r="S31" s="435"/>
    </row>
    <row r="32" spans="1:19" ht="18" customHeight="1">
      <c r="B32" s="471"/>
      <c r="R32" s="471"/>
      <c r="S32" s="471"/>
    </row>
  </sheetData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15451-165D-4C2B-967A-A8B59698CEC1}">
  <sheetPr>
    <pageSetUpPr fitToPage="1"/>
  </sheetPr>
  <dimension ref="A1:K112"/>
  <sheetViews>
    <sheetView tabSelected="1" view="pageBreakPreview" zoomScaleNormal="100" zoomScaleSheetLayoutView="100" workbookViewId="0">
      <selection activeCell="I10" sqref="I10"/>
    </sheetView>
  </sheetViews>
  <sheetFormatPr defaultColWidth="9" defaultRowHeight="12" customHeight="1"/>
  <cols>
    <col min="1" max="3" width="1.6640625" style="433" customWidth="1"/>
    <col min="4" max="4" width="24.77734375" style="433" customWidth="1"/>
    <col min="5" max="7" width="12.109375" style="433" customWidth="1"/>
    <col min="8" max="9" width="12.109375" style="430" customWidth="1"/>
    <col min="10" max="10" width="12.109375" style="433" customWidth="1"/>
    <col min="11" max="11" width="12.109375" style="430" customWidth="1"/>
    <col min="12" max="16384" width="9" style="433"/>
  </cols>
  <sheetData>
    <row r="1" spans="1:11" ht="12" customHeight="1">
      <c r="A1" s="444"/>
      <c r="B1" s="444"/>
      <c r="C1" s="444"/>
      <c r="D1" s="444"/>
      <c r="E1" s="431"/>
      <c r="F1" s="465"/>
      <c r="G1" s="465"/>
      <c r="H1" s="432"/>
      <c r="I1" s="432"/>
      <c r="J1" s="432"/>
      <c r="K1" s="432" t="s">
        <v>238</v>
      </c>
    </row>
    <row r="2" spans="1:11" ht="12" customHeight="1">
      <c r="A2" s="445" t="s">
        <v>183</v>
      </c>
      <c r="B2" s="445"/>
      <c r="C2" s="445"/>
      <c r="D2" s="445"/>
      <c r="E2" s="451">
        <v>2022.9</v>
      </c>
      <c r="F2" s="452">
        <v>2023.3</v>
      </c>
      <c r="G2" s="451">
        <v>2023.9</v>
      </c>
      <c r="H2" s="452">
        <v>2024.3</v>
      </c>
      <c r="I2" s="451">
        <v>2024.9</v>
      </c>
      <c r="J2" s="452">
        <v>2025.3</v>
      </c>
      <c r="K2" s="451">
        <v>2025.9</v>
      </c>
    </row>
    <row r="3" spans="1:11" ht="12" customHeight="1">
      <c r="A3" s="444"/>
      <c r="B3" s="444"/>
      <c r="C3" s="444"/>
      <c r="D3" s="444"/>
      <c r="E3" s="465"/>
      <c r="F3" s="436"/>
      <c r="G3" s="465"/>
      <c r="H3" s="436"/>
      <c r="I3" s="465"/>
      <c r="J3" s="436"/>
      <c r="K3" s="465"/>
    </row>
    <row r="4" spans="1:11" ht="12" customHeight="1">
      <c r="A4" s="444" t="s">
        <v>239</v>
      </c>
      <c r="B4" s="444"/>
      <c r="C4" s="444"/>
      <c r="D4" s="444"/>
      <c r="E4" s="465"/>
      <c r="F4" s="465"/>
      <c r="G4" s="465"/>
      <c r="H4" s="465"/>
      <c r="I4" s="465"/>
      <c r="J4" s="465"/>
      <c r="K4" s="465"/>
    </row>
    <row r="5" spans="1:11" ht="12" customHeight="1">
      <c r="A5" s="444"/>
      <c r="B5" s="531" t="s">
        <v>240</v>
      </c>
      <c r="C5" s="531"/>
      <c r="D5" s="531"/>
      <c r="E5" s="546">
        <v>109703</v>
      </c>
      <c r="F5" s="546">
        <v>260471</v>
      </c>
      <c r="G5" s="546">
        <v>148044</v>
      </c>
      <c r="H5" s="546">
        <v>298309</v>
      </c>
      <c r="I5" s="546">
        <v>121139</v>
      </c>
      <c r="J5" s="546">
        <v>392014</v>
      </c>
      <c r="K5" s="546">
        <v>231942</v>
      </c>
    </row>
    <row r="6" spans="1:11" ht="12" customHeight="1">
      <c r="A6" s="444"/>
      <c r="B6" s="532"/>
      <c r="C6" s="532" t="s">
        <v>241</v>
      </c>
      <c r="D6" s="532"/>
      <c r="E6" s="547">
        <v>5745</v>
      </c>
      <c r="F6" s="501">
        <v>10991</v>
      </c>
      <c r="G6" s="547">
        <v>35987</v>
      </c>
      <c r="H6" s="547">
        <v>51995</v>
      </c>
      <c r="I6" s="547">
        <v>6730</v>
      </c>
      <c r="J6" s="501">
        <v>35176</v>
      </c>
      <c r="K6" s="547">
        <v>44092</v>
      </c>
    </row>
    <row r="7" spans="1:11" ht="12" customHeight="1">
      <c r="A7" s="444"/>
      <c r="B7" s="532"/>
      <c r="C7" s="532" t="s">
        <v>242</v>
      </c>
      <c r="D7" s="532"/>
      <c r="E7" s="547">
        <v>335</v>
      </c>
      <c r="F7" s="501">
        <v>11512</v>
      </c>
      <c r="G7" s="547">
        <v>6786</v>
      </c>
      <c r="H7" s="547">
        <v>13454</v>
      </c>
      <c r="I7" s="547">
        <v>10785</v>
      </c>
      <c r="J7" s="501">
        <v>18118</v>
      </c>
      <c r="K7" s="547">
        <v>1974</v>
      </c>
    </row>
    <row r="8" spans="1:11" ht="12" customHeight="1">
      <c r="A8" s="444"/>
      <c r="B8" s="532"/>
      <c r="C8" s="532" t="s">
        <v>243</v>
      </c>
      <c r="D8" s="532"/>
      <c r="E8" s="557">
        <v>2644</v>
      </c>
      <c r="F8" s="501">
        <v>4853</v>
      </c>
      <c r="G8" s="557">
        <v>1678</v>
      </c>
      <c r="H8" s="547">
        <v>2327</v>
      </c>
      <c r="I8" s="557">
        <v>8830</v>
      </c>
      <c r="J8" s="501">
        <v>11397</v>
      </c>
      <c r="K8" s="557">
        <v>560</v>
      </c>
    </row>
    <row r="9" spans="1:11" ht="12" customHeight="1">
      <c r="A9" s="444"/>
      <c r="B9" s="532"/>
      <c r="C9" s="532" t="s">
        <v>244</v>
      </c>
      <c r="D9" s="532"/>
      <c r="E9" s="547">
        <v>11608</v>
      </c>
      <c r="F9" s="501">
        <v>48932</v>
      </c>
      <c r="G9" s="547">
        <v>8175</v>
      </c>
      <c r="H9" s="547">
        <v>40625</v>
      </c>
      <c r="I9" s="547">
        <v>5435</v>
      </c>
      <c r="J9" s="501">
        <v>35171</v>
      </c>
      <c r="K9" s="547">
        <v>31386</v>
      </c>
    </row>
    <row r="10" spans="1:11" ht="12" customHeight="1">
      <c r="A10" s="444"/>
      <c r="B10" s="532"/>
      <c r="C10" s="532" t="s">
        <v>245</v>
      </c>
      <c r="D10" s="532"/>
      <c r="E10" s="547">
        <v>23228</v>
      </c>
      <c r="F10" s="501">
        <v>35489</v>
      </c>
      <c r="G10" s="547">
        <v>28241</v>
      </c>
      <c r="H10" s="547">
        <v>46143</v>
      </c>
      <c r="I10" s="547">
        <v>30901</v>
      </c>
      <c r="J10" s="501">
        <v>86132</v>
      </c>
      <c r="K10" s="547">
        <v>23496</v>
      </c>
    </row>
    <row r="11" spans="1:11" ht="12" customHeight="1">
      <c r="A11" s="444"/>
      <c r="B11" s="532"/>
      <c r="C11" s="532" t="s">
        <v>246</v>
      </c>
      <c r="D11" s="532"/>
      <c r="E11" s="547">
        <v>54457</v>
      </c>
      <c r="F11" s="501">
        <v>103905</v>
      </c>
      <c r="G11" s="547">
        <v>35766</v>
      </c>
      <c r="H11" s="547">
        <v>69010</v>
      </c>
      <c r="I11" s="547">
        <v>13399</v>
      </c>
      <c r="J11" s="501">
        <v>108492</v>
      </c>
      <c r="K11" s="547">
        <v>38315</v>
      </c>
    </row>
    <row r="12" spans="1:11" ht="12" customHeight="1">
      <c r="A12" s="444"/>
      <c r="B12" s="532"/>
      <c r="C12" s="532" t="s">
        <v>247</v>
      </c>
      <c r="D12" s="532"/>
      <c r="E12" s="547">
        <v>5412</v>
      </c>
      <c r="F12" s="501">
        <v>23046</v>
      </c>
      <c r="G12" s="547">
        <v>4222</v>
      </c>
      <c r="H12" s="547">
        <v>24526</v>
      </c>
      <c r="I12" s="547">
        <v>26838</v>
      </c>
      <c r="J12" s="501">
        <v>44168</v>
      </c>
      <c r="K12" s="547">
        <v>81701</v>
      </c>
    </row>
    <row r="13" spans="1:11" ht="12" customHeight="1">
      <c r="A13" s="444"/>
      <c r="B13" s="532"/>
      <c r="C13" s="532" t="s">
        <v>248</v>
      </c>
      <c r="D13" s="532"/>
      <c r="E13" s="496">
        <v>1748</v>
      </c>
      <c r="F13" s="501">
        <v>2850</v>
      </c>
      <c r="G13" s="496">
        <v>2242</v>
      </c>
      <c r="H13" s="547">
        <v>6097</v>
      </c>
      <c r="I13" s="496">
        <v>119</v>
      </c>
      <c r="J13" s="501">
        <v>10301</v>
      </c>
      <c r="K13" s="496">
        <v>248</v>
      </c>
    </row>
    <row r="14" spans="1:11" ht="12" customHeight="1">
      <c r="A14" s="444"/>
      <c r="B14" s="532"/>
      <c r="C14" s="532" t="s">
        <v>249</v>
      </c>
      <c r="D14" s="532"/>
      <c r="E14" s="584">
        <v>1214</v>
      </c>
      <c r="F14" s="501">
        <v>4495</v>
      </c>
      <c r="G14" s="584">
        <v>3216</v>
      </c>
      <c r="H14" s="584">
        <v>3701</v>
      </c>
      <c r="I14" s="584">
        <v>55</v>
      </c>
      <c r="J14" s="501">
        <v>2465</v>
      </c>
      <c r="K14" s="584">
        <v>5217</v>
      </c>
    </row>
    <row r="15" spans="1:11" ht="12" customHeight="1">
      <c r="A15" s="444"/>
      <c r="B15" s="533"/>
      <c r="C15" s="533" t="s">
        <v>250</v>
      </c>
      <c r="D15" s="533"/>
      <c r="E15" s="549">
        <v>3308</v>
      </c>
      <c r="F15" s="504">
        <v>14395</v>
      </c>
      <c r="G15" s="549">
        <v>21725</v>
      </c>
      <c r="H15" s="549">
        <v>40424</v>
      </c>
      <c r="I15" s="549">
        <v>18042</v>
      </c>
      <c r="J15" s="504">
        <v>40590</v>
      </c>
      <c r="K15" s="549">
        <v>4948</v>
      </c>
    </row>
    <row r="16" spans="1:11" ht="12" customHeight="1">
      <c r="A16" s="444"/>
      <c r="B16" s="531" t="s">
        <v>251</v>
      </c>
      <c r="C16" s="531"/>
      <c r="D16" s="531"/>
      <c r="E16" s="508">
        <v>33985</v>
      </c>
      <c r="F16" s="499">
        <v>106477</v>
      </c>
      <c r="G16" s="508">
        <v>59057</v>
      </c>
      <c r="H16" s="546">
        <v>152076</v>
      </c>
      <c r="I16" s="508">
        <v>68617.476486999993</v>
      </c>
      <c r="J16" s="499">
        <v>166418</v>
      </c>
      <c r="K16" s="508">
        <v>77705</v>
      </c>
    </row>
    <row r="17" spans="1:11" ht="12" customHeight="1">
      <c r="A17" s="444"/>
      <c r="B17" s="532"/>
      <c r="C17" s="532" t="s">
        <v>252</v>
      </c>
      <c r="D17" s="532"/>
      <c r="E17" s="547">
        <v>6176</v>
      </c>
      <c r="F17" s="501">
        <v>16268</v>
      </c>
      <c r="G17" s="547">
        <v>10599</v>
      </c>
      <c r="H17" s="547">
        <v>29228</v>
      </c>
      <c r="I17" s="547">
        <v>2531</v>
      </c>
      <c r="J17" s="501">
        <v>13250</v>
      </c>
      <c r="K17" s="547">
        <v>5145</v>
      </c>
    </row>
    <row r="18" spans="1:11" ht="12" customHeight="1">
      <c r="A18" s="444"/>
      <c r="B18" s="532"/>
      <c r="C18" s="532" t="s">
        <v>253</v>
      </c>
      <c r="D18" s="532"/>
      <c r="E18" s="557">
        <v>3453</v>
      </c>
      <c r="F18" s="501">
        <v>11750</v>
      </c>
      <c r="G18" s="557">
        <v>7118</v>
      </c>
      <c r="H18" s="547">
        <v>26957</v>
      </c>
      <c r="I18" s="557">
        <v>4797</v>
      </c>
      <c r="J18" s="501">
        <v>12488</v>
      </c>
      <c r="K18" s="557">
        <v>4253</v>
      </c>
    </row>
    <row r="19" spans="1:11" ht="12" customHeight="1">
      <c r="A19" s="444"/>
      <c r="B19" s="532"/>
      <c r="C19" s="532" t="s">
        <v>254</v>
      </c>
      <c r="D19" s="532"/>
      <c r="E19" s="547">
        <v>3245</v>
      </c>
      <c r="F19" s="501">
        <v>5474</v>
      </c>
      <c r="G19" s="547">
        <v>7817</v>
      </c>
      <c r="H19" s="547">
        <v>14403</v>
      </c>
      <c r="I19" s="547">
        <v>9281</v>
      </c>
      <c r="J19" s="501">
        <v>18210</v>
      </c>
      <c r="K19" s="547">
        <v>364</v>
      </c>
    </row>
    <row r="20" spans="1:11" ht="12" customHeight="1">
      <c r="A20" s="444"/>
      <c r="B20" s="532"/>
      <c r="C20" s="532" t="s">
        <v>255</v>
      </c>
      <c r="D20" s="532"/>
      <c r="E20" s="547">
        <v>4757</v>
      </c>
      <c r="F20" s="501">
        <v>7910</v>
      </c>
      <c r="G20" s="547">
        <v>1016</v>
      </c>
      <c r="H20" s="547">
        <v>9340</v>
      </c>
      <c r="I20" s="547">
        <v>2010</v>
      </c>
      <c r="J20" s="501">
        <v>15203</v>
      </c>
      <c r="K20" s="547">
        <v>4983</v>
      </c>
    </row>
    <row r="21" spans="1:11" ht="12" customHeight="1">
      <c r="A21" s="444"/>
      <c r="B21" s="532"/>
      <c r="C21" s="532" t="s">
        <v>256</v>
      </c>
      <c r="D21" s="532"/>
      <c r="E21" s="547">
        <v>165</v>
      </c>
      <c r="F21" s="501">
        <v>1113</v>
      </c>
      <c r="G21" s="547">
        <v>377</v>
      </c>
      <c r="H21" s="547">
        <v>2687</v>
      </c>
      <c r="I21" s="547">
        <v>30</v>
      </c>
      <c r="J21" s="501">
        <v>2655</v>
      </c>
      <c r="K21" s="547">
        <v>1096</v>
      </c>
    </row>
    <row r="22" spans="1:11" ht="12" customHeight="1">
      <c r="A22" s="444"/>
      <c r="B22" s="532"/>
      <c r="C22" s="532" t="s">
        <v>257</v>
      </c>
      <c r="D22" s="532"/>
      <c r="E22" s="547">
        <v>5500</v>
      </c>
      <c r="F22" s="501">
        <v>29236</v>
      </c>
      <c r="G22" s="547">
        <v>11198</v>
      </c>
      <c r="H22" s="547">
        <v>28558</v>
      </c>
      <c r="I22" s="547">
        <v>19468</v>
      </c>
      <c r="J22" s="501">
        <v>48706</v>
      </c>
      <c r="K22" s="547">
        <v>10757</v>
      </c>
    </row>
    <row r="23" spans="1:11" ht="12" customHeight="1">
      <c r="A23" s="444"/>
      <c r="B23" s="532"/>
      <c r="C23" s="532" t="s">
        <v>258</v>
      </c>
      <c r="D23" s="532"/>
      <c r="E23" s="525" t="s">
        <v>32</v>
      </c>
      <c r="F23" s="502" t="s">
        <v>32</v>
      </c>
      <c r="G23" s="525" t="s">
        <v>206</v>
      </c>
      <c r="H23" s="525" t="s">
        <v>32</v>
      </c>
      <c r="I23" s="525">
        <v>0</v>
      </c>
      <c r="J23" s="525" t="s">
        <v>32</v>
      </c>
      <c r="K23" s="525" t="s">
        <v>32</v>
      </c>
    </row>
    <row r="24" spans="1:11" ht="12" customHeight="1">
      <c r="A24" s="444"/>
      <c r="B24" s="533"/>
      <c r="C24" s="533" t="s">
        <v>259</v>
      </c>
      <c r="D24" s="533"/>
      <c r="E24" s="549">
        <v>10686</v>
      </c>
      <c r="F24" s="504">
        <v>34723</v>
      </c>
      <c r="G24" s="549">
        <v>20928</v>
      </c>
      <c r="H24" s="549">
        <v>40899</v>
      </c>
      <c r="I24" s="549">
        <v>30497</v>
      </c>
      <c r="J24" s="504">
        <v>55903</v>
      </c>
      <c r="K24" s="549">
        <v>51104</v>
      </c>
    </row>
    <row r="25" spans="1:11" ht="12" customHeight="1">
      <c r="A25" s="444"/>
      <c r="B25" s="430"/>
      <c r="C25" s="444"/>
      <c r="D25" s="444"/>
      <c r="E25" s="464"/>
      <c r="F25" s="464"/>
      <c r="G25" s="464"/>
      <c r="H25" s="464"/>
      <c r="I25" s="464"/>
      <c r="J25" s="464"/>
      <c r="K25" s="464"/>
    </row>
    <row r="26" spans="1:11" ht="12" customHeight="1">
      <c r="A26" s="444" t="s">
        <v>260</v>
      </c>
      <c r="B26" s="444"/>
      <c r="C26" s="444"/>
      <c r="D26" s="444"/>
      <c r="E26" s="464"/>
      <c r="F26" s="476"/>
      <c r="G26" s="464"/>
      <c r="H26" s="464"/>
      <c r="I26" s="464"/>
      <c r="J26" s="476"/>
      <c r="K26" s="464"/>
    </row>
    <row r="27" spans="1:11" ht="12" customHeight="1">
      <c r="A27" s="444"/>
      <c r="B27" s="531" t="s">
        <v>261</v>
      </c>
      <c r="C27" s="531"/>
      <c r="D27" s="531"/>
      <c r="E27" s="546">
        <v>109703</v>
      </c>
      <c r="F27" s="499">
        <v>260471</v>
      </c>
      <c r="G27" s="546">
        <v>148044</v>
      </c>
      <c r="H27" s="546">
        <v>298309</v>
      </c>
      <c r="I27" s="546">
        <v>120192</v>
      </c>
      <c r="J27" s="499">
        <v>392014</v>
      </c>
      <c r="K27" s="546">
        <v>231942</v>
      </c>
    </row>
    <row r="28" spans="1:11" ht="12" customHeight="1">
      <c r="A28" s="444"/>
      <c r="B28" s="532"/>
      <c r="C28" s="532" t="s">
        <v>262</v>
      </c>
      <c r="D28" s="532"/>
      <c r="E28" s="547">
        <v>109180</v>
      </c>
      <c r="F28" s="501">
        <v>259850</v>
      </c>
      <c r="G28" s="547">
        <v>145347</v>
      </c>
      <c r="H28" s="547">
        <v>288688</v>
      </c>
      <c r="I28" s="547">
        <v>119964</v>
      </c>
      <c r="J28" s="501">
        <v>388933</v>
      </c>
      <c r="K28" s="547">
        <v>230868</v>
      </c>
    </row>
    <row r="29" spans="1:11" ht="12" customHeight="1">
      <c r="A29" s="444"/>
      <c r="B29" s="532"/>
      <c r="C29" s="532"/>
      <c r="D29" s="532" t="s">
        <v>263</v>
      </c>
      <c r="E29" s="547">
        <v>24175</v>
      </c>
      <c r="F29" s="501">
        <v>57043</v>
      </c>
      <c r="G29" s="547">
        <v>13769</v>
      </c>
      <c r="H29" s="547">
        <v>66015</v>
      </c>
      <c r="I29" s="547">
        <v>14584</v>
      </c>
      <c r="J29" s="501">
        <v>53938</v>
      </c>
      <c r="K29" s="547">
        <v>15941</v>
      </c>
    </row>
    <row r="30" spans="1:11" ht="12" customHeight="1">
      <c r="A30" s="444"/>
      <c r="B30" s="532"/>
      <c r="C30" s="532"/>
      <c r="D30" s="532" t="s">
        <v>264</v>
      </c>
      <c r="E30" s="547">
        <v>85005</v>
      </c>
      <c r="F30" s="501">
        <v>202806</v>
      </c>
      <c r="G30" s="547">
        <v>131577</v>
      </c>
      <c r="H30" s="547">
        <v>222673</v>
      </c>
      <c r="I30" s="547">
        <v>105380</v>
      </c>
      <c r="J30" s="501">
        <v>334995</v>
      </c>
      <c r="K30" s="547">
        <v>214927</v>
      </c>
    </row>
    <row r="31" spans="1:11" ht="12" customHeight="1">
      <c r="A31" s="444"/>
      <c r="B31" s="533"/>
      <c r="C31" s="533" t="s">
        <v>265</v>
      </c>
      <c r="D31" s="533"/>
      <c r="E31" s="547">
        <v>523</v>
      </c>
      <c r="F31" s="504">
        <v>621</v>
      </c>
      <c r="G31" s="547">
        <v>2696</v>
      </c>
      <c r="H31" s="549">
        <v>9621</v>
      </c>
      <c r="I31" s="547">
        <v>227</v>
      </c>
      <c r="J31" s="504">
        <v>3080</v>
      </c>
      <c r="K31" s="547">
        <v>1073</v>
      </c>
    </row>
    <row r="32" spans="1:11" ht="12" customHeight="1">
      <c r="A32" s="444"/>
      <c r="B32" s="531" t="s">
        <v>266</v>
      </c>
      <c r="C32" s="531"/>
      <c r="D32" s="531"/>
      <c r="E32" s="546">
        <v>33985</v>
      </c>
      <c r="F32" s="499">
        <v>106477</v>
      </c>
      <c r="G32" s="546">
        <v>59057</v>
      </c>
      <c r="H32" s="546">
        <v>152076</v>
      </c>
      <c r="I32" s="546">
        <v>68617</v>
      </c>
      <c r="J32" s="499">
        <v>166418</v>
      </c>
      <c r="K32" s="546">
        <v>77705</v>
      </c>
    </row>
    <row r="33" spans="1:11" ht="12" customHeight="1">
      <c r="A33" s="444"/>
      <c r="B33" s="532"/>
      <c r="C33" s="532" t="s">
        <v>262</v>
      </c>
      <c r="D33" s="532"/>
      <c r="E33" s="547">
        <v>33930</v>
      </c>
      <c r="F33" s="501">
        <v>106448</v>
      </c>
      <c r="G33" s="547">
        <v>58960</v>
      </c>
      <c r="H33" s="547">
        <v>152029</v>
      </c>
      <c r="I33" s="547">
        <v>68638</v>
      </c>
      <c r="J33" s="501">
        <v>165929</v>
      </c>
      <c r="K33" s="547">
        <v>77694</v>
      </c>
    </row>
    <row r="34" spans="1:11" ht="12" customHeight="1">
      <c r="A34" s="444"/>
      <c r="B34" s="532"/>
      <c r="C34" s="532"/>
      <c r="D34" s="532" t="s">
        <v>263</v>
      </c>
      <c r="E34" s="547">
        <v>21023</v>
      </c>
      <c r="F34" s="501">
        <v>67071</v>
      </c>
      <c r="G34" s="547">
        <v>33717</v>
      </c>
      <c r="H34" s="547">
        <v>90259</v>
      </c>
      <c r="I34" s="547">
        <v>41683</v>
      </c>
      <c r="J34" s="501">
        <v>100708</v>
      </c>
      <c r="K34" s="547">
        <v>31743</v>
      </c>
    </row>
    <row r="35" spans="1:11" ht="12" customHeight="1">
      <c r="A35" s="444"/>
      <c r="B35" s="532"/>
      <c r="C35" s="532"/>
      <c r="D35" s="532" t="s">
        <v>264</v>
      </c>
      <c r="E35" s="547">
        <v>12906</v>
      </c>
      <c r="F35" s="501">
        <v>39377</v>
      </c>
      <c r="G35" s="547">
        <v>25242</v>
      </c>
      <c r="H35" s="547">
        <v>61770</v>
      </c>
      <c r="I35" s="547">
        <v>26954</v>
      </c>
      <c r="J35" s="501">
        <v>65220</v>
      </c>
      <c r="K35" s="547">
        <v>45951</v>
      </c>
    </row>
    <row r="36" spans="1:11" ht="12" customHeight="1">
      <c r="A36" s="444"/>
      <c r="B36" s="533"/>
      <c r="C36" s="533" t="s">
        <v>265</v>
      </c>
      <c r="D36" s="533"/>
      <c r="E36" s="549">
        <v>54</v>
      </c>
      <c r="F36" s="504">
        <v>28</v>
      </c>
      <c r="G36" s="549">
        <v>97</v>
      </c>
      <c r="H36" s="549">
        <v>46</v>
      </c>
      <c r="I36" s="549">
        <v>-20</v>
      </c>
      <c r="J36" s="504">
        <v>489</v>
      </c>
      <c r="K36" s="549">
        <v>11</v>
      </c>
    </row>
    <row r="37" spans="1:11" ht="12" customHeight="1">
      <c r="A37" s="444"/>
      <c r="B37" s="444"/>
      <c r="C37" s="444"/>
      <c r="D37" s="444"/>
      <c r="E37" s="464"/>
      <c r="F37" s="464"/>
      <c r="G37" s="464"/>
      <c r="H37" s="464"/>
      <c r="I37" s="464"/>
      <c r="J37" s="464"/>
      <c r="K37" s="464"/>
    </row>
    <row r="38" spans="1:11" ht="12" customHeight="1">
      <c r="A38" s="444" t="s">
        <v>267</v>
      </c>
      <c r="B38" s="444"/>
      <c r="C38" s="444"/>
      <c r="D38" s="444"/>
      <c r="E38" s="476"/>
      <c r="F38" s="476"/>
      <c r="G38" s="464"/>
      <c r="H38" s="464"/>
      <c r="I38" s="464"/>
      <c r="J38" s="476"/>
      <c r="K38" s="464"/>
    </row>
    <row r="39" spans="1:11" ht="12" customHeight="1">
      <c r="A39" s="444"/>
      <c r="B39" s="531" t="s">
        <v>268</v>
      </c>
      <c r="C39" s="531"/>
      <c r="D39" s="531"/>
      <c r="E39" s="499">
        <v>86266</v>
      </c>
      <c r="F39" s="499">
        <v>175072</v>
      </c>
      <c r="G39" s="546">
        <v>90642</v>
      </c>
      <c r="H39" s="546">
        <v>186185</v>
      </c>
      <c r="I39" s="546">
        <v>107901</v>
      </c>
      <c r="J39" s="499">
        <v>200342</v>
      </c>
      <c r="K39" s="546">
        <v>99085</v>
      </c>
    </row>
    <row r="40" spans="1:11" ht="12" customHeight="1">
      <c r="A40" s="444"/>
      <c r="B40" s="532"/>
      <c r="C40" s="532"/>
      <c r="D40" s="532" t="s">
        <v>263</v>
      </c>
      <c r="E40" s="501">
        <v>6110</v>
      </c>
      <c r="F40" s="501">
        <v>17950</v>
      </c>
      <c r="G40" s="547">
        <v>7170</v>
      </c>
      <c r="H40" s="547">
        <v>21757</v>
      </c>
      <c r="I40" s="547">
        <v>18675</v>
      </c>
      <c r="J40" s="501">
        <v>31728</v>
      </c>
      <c r="K40" s="547">
        <v>6693</v>
      </c>
    </row>
    <row r="41" spans="1:11" ht="12" customHeight="1">
      <c r="A41" s="444"/>
      <c r="B41" s="532"/>
      <c r="C41" s="532"/>
      <c r="D41" s="532" t="s">
        <v>264</v>
      </c>
      <c r="E41" s="501">
        <v>76214</v>
      </c>
      <c r="F41" s="501">
        <v>148958</v>
      </c>
      <c r="G41" s="547">
        <v>78517</v>
      </c>
      <c r="H41" s="547">
        <v>154483</v>
      </c>
      <c r="I41" s="547">
        <v>85356</v>
      </c>
      <c r="J41" s="501">
        <v>158538</v>
      </c>
      <c r="K41" s="547">
        <v>88145</v>
      </c>
    </row>
    <row r="42" spans="1:11" ht="12" customHeight="1">
      <c r="A42" s="444"/>
      <c r="B42" s="533"/>
      <c r="C42" s="533"/>
      <c r="D42" s="533" t="s">
        <v>38</v>
      </c>
      <c r="E42" s="504">
        <v>3942</v>
      </c>
      <c r="F42" s="504">
        <v>8164</v>
      </c>
      <c r="G42" s="549">
        <v>4954</v>
      </c>
      <c r="H42" s="549">
        <v>9945</v>
      </c>
      <c r="I42" s="549">
        <v>3869</v>
      </c>
      <c r="J42" s="504">
        <v>10076</v>
      </c>
      <c r="K42" s="549">
        <v>4246</v>
      </c>
    </row>
    <row r="43" spans="1:11" ht="12" customHeight="1">
      <c r="A43" s="444"/>
      <c r="B43" s="444"/>
      <c r="C43" s="444"/>
      <c r="D43" s="444"/>
      <c r="E43" s="464"/>
      <c r="F43" s="464"/>
      <c r="G43" s="464"/>
      <c r="H43" s="464"/>
      <c r="I43" s="464"/>
      <c r="J43" s="464"/>
      <c r="K43" s="464"/>
    </row>
    <row r="44" spans="1:11" ht="12" customHeight="1">
      <c r="E44" s="464"/>
      <c r="F44" s="466"/>
      <c r="G44" s="464"/>
      <c r="H44" s="560"/>
      <c r="I44" s="464"/>
      <c r="J44" s="466"/>
      <c r="K44" s="464"/>
    </row>
    <row r="45" spans="1:11" ht="12" customHeight="1">
      <c r="A45" s="444" t="s">
        <v>269</v>
      </c>
      <c r="B45" s="444"/>
      <c r="C45" s="444"/>
      <c r="D45" s="444"/>
      <c r="E45" s="464"/>
      <c r="F45" s="464"/>
      <c r="G45" s="464"/>
      <c r="H45" s="464"/>
      <c r="I45" s="464"/>
      <c r="J45" s="464"/>
      <c r="K45" s="464"/>
    </row>
    <row r="46" spans="1:11" ht="12" customHeight="1">
      <c r="A46" s="444"/>
      <c r="B46" s="531" t="s">
        <v>240</v>
      </c>
      <c r="C46" s="531"/>
      <c r="D46" s="531"/>
      <c r="E46" s="546">
        <v>87272</v>
      </c>
      <c r="F46" s="546">
        <v>215378</v>
      </c>
      <c r="G46" s="546">
        <v>106776</v>
      </c>
      <c r="H46" s="546">
        <v>272752</v>
      </c>
      <c r="I46" s="546">
        <v>135953</v>
      </c>
      <c r="J46" s="546">
        <v>343261</v>
      </c>
      <c r="K46" s="546">
        <v>159805</v>
      </c>
    </row>
    <row r="47" spans="1:11" ht="12" customHeight="1">
      <c r="A47" s="444"/>
      <c r="B47" s="532"/>
      <c r="C47" s="532" t="s">
        <v>241</v>
      </c>
      <c r="D47" s="532"/>
      <c r="E47" s="547">
        <v>11717</v>
      </c>
      <c r="F47" s="501">
        <v>26225</v>
      </c>
      <c r="G47" s="547">
        <v>10681</v>
      </c>
      <c r="H47" s="547">
        <v>24573</v>
      </c>
      <c r="I47" s="547">
        <v>11620</v>
      </c>
      <c r="J47" s="501">
        <v>27325</v>
      </c>
      <c r="K47" s="547">
        <v>17771</v>
      </c>
    </row>
    <row r="48" spans="1:11" ht="12" customHeight="1">
      <c r="A48" s="444"/>
      <c r="B48" s="532"/>
      <c r="C48" s="532" t="s">
        <v>242</v>
      </c>
      <c r="D48" s="532"/>
      <c r="E48" s="557">
        <v>525</v>
      </c>
      <c r="F48" s="501">
        <v>875</v>
      </c>
      <c r="G48" s="557">
        <v>2036</v>
      </c>
      <c r="H48" s="547">
        <v>7403</v>
      </c>
      <c r="I48" s="557">
        <v>5796</v>
      </c>
      <c r="J48" s="501">
        <v>15988</v>
      </c>
      <c r="K48" s="557">
        <v>10280</v>
      </c>
    </row>
    <row r="49" spans="1:11" ht="12" customHeight="1">
      <c r="A49" s="444"/>
      <c r="B49" s="532"/>
      <c r="C49" s="532" t="s">
        <v>243</v>
      </c>
      <c r="D49" s="532"/>
      <c r="E49" s="547">
        <v>6187</v>
      </c>
      <c r="F49" s="501">
        <v>8648</v>
      </c>
      <c r="G49" s="547">
        <v>1976</v>
      </c>
      <c r="H49" s="547">
        <v>3384</v>
      </c>
      <c r="I49" s="547">
        <v>1178</v>
      </c>
      <c r="J49" s="501">
        <v>6602</v>
      </c>
      <c r="K49" s="547">
        <v>1121</v>
      </c>
    </row>
    <row r="50" spans="1:11" ht="12" customHeight="1">
      <c r="A50" s="444"/>
      <c r="B50" s="532"/>
      <c r="C50" s="532" t="s">
        <v>244</v>
      </c>
      <c r="D50" s="532"/>
      <c r="E50" s="547">
        <v>12235</v>
      </c>
      <c r="F50" s="501">
        <v>29734</v>
      </c>
      <c r="G50" s="547">
        <v>13350</v>
      </c>
      <c r="H50" s="547">
        <v>36254</v>
      </c>
      <c r="I50" s="547">
        <v>18379</v>
      </c>
      <c r="J50" s="501">
        <v>62535</v>
      </c>
      <c r="K50" s="547">
        <v>16477</v>
      </c>
    </row>
    <row r="51" spans="1:11" ht="12" customHeight="1">
      <c r="A51" s="444"/>
      <c r="B51" s="532"/>
      <c r="C51" s="532" t="s">
        <v>245</v>
      </c>
      <c r="D51" s="532"/>
      <c r="E51" s="547">
        <v>11869</v>
      </c>
      <c r="F51" s="501">
        <v>29876</v>
      </c>
      <c r="G51" s="547">
        <v>21756</v>
      </c>
      <c r="H51" s="547">
        <v>54139</v>
      </c>
      <c r="I51" s="547">
        <v>18215.097116000001</v>
      </c>
      <c r="J51" s="501">
        <v>43771</v>
      </c>
      <c r="K51" s="547">
        <v>30847</v>
      </c>
    </row>
    <row r="52" spans="1:11" ht="12" customHeight="1">
      <c r="A52" s="444"/>
      <c r="B52" s="532"/>
      <c r="C52" s="532" t="s">
        <v>246</v>
      </c>
      <c r="D52" s="532"/>
      <c r="E52" s="547">
        <v>29205</v>
      </c>
      <c r="F52" s="501">
        <v>75532</v>
      </c>
      <c r="G52" s="547">
        <v>39010</v>
      </c>
      <c r="H52" s="547">
        <v>96521</v>
      </c>
      <c r="I52" s="547">
        <v>43956</v>
      </c>
      <c r="J52" s="501">
        <v>99931</v>
      </c>
      <c r="K52" s="547">
        <v>51667</v>
      </c>
    </row>
    <row r="53" spans="1:11" ht="12" customHeight="1">
      <c r="A53" s="444"/>
      <c r="B53" s="532"/>
      <c r="C53" s="532" t="s">
        <v>247</v>
      </c>
      <c r="D53" s="532"/>
      <c r="E53" s="557">
        <v>7927</v>
      </c>
      <c r="F53" s="501">
        <v>21011</v>
      </c>
      <c r="G53" s="557">
        <v>11368</v>
      </c>
      <c r="H53" s="547">
        <v>31154</v>
      </c>
      <c r="I53" s="557">
        <v>19352</v>
      </c>
      <c r="J53" s="501">
        <v>48957</v>
      </c>
      <c r="K53" s="557">
        <v>11851</v>
      </c>
    </row>
    <row r="54" spans="1:11" ht="12" customHeight="1">
      <c r="A54" s="444"/>
      <c r="B54" s="532"/>
      <c r="C54" s="532" t="s">
        <v>248</v>
      </c>
      <c r="D54" s="532"/>
      <c r="E54" s="547">
        <v>527</v>
      </c>
      <c r="F54" s="501">
        <v>1773</v>
      </c>
      <c r="G54" s="547">
        <v>995</v>
      </c>
      <c r="H54" s="547">
        <v>2073</v>
      </c>
      <c r="I54" s="547">
        <v>1476</v>
      </c>
      <c r="J54" s="501">
        <v>4662</v>
      </c>
      <c r="K54" s="547">
        <v>2401</v>
      </c>
    </row>
    <row r="55" spans="1:11" ht="12" customHeight="1">
      <c r="A55" s="444"/>
      <c r="B55" s="532"/>
      <c r="C55" s="532" t="s">
        <v>249</v>
      </c>
      <c r="D55" s="532"/>
      <c r="E55" s="496">
        <v>2277</v>
      </c>
      <c r="F55" s="501">
        <v>9585</v>
      </c>
      <c r="G55" s="496">
        <v>2347</v>
      </c>
      <c r="H55" s="547">
        <v>4297</v>
      </c>
      <c r="I55" s="496">
        <v>1931</v>
      </c>
      <c r="J55" s="501">
        <v>2798</v>
      </c>
      <c r="K55" s="496">
        <v>3893</v>
      </c>
    </row>
    <row r="56" spans="1:11" ht="12" customHeight="1">
      <c r="A56" s="444"/>
      <c r="B56" s="533"/>
      <c r="C56" s="533" t="s">
        <v>250</v>
      </c>
      <c r="D56" s="533"/>
      <c r="E56" s="549">
        <v>4798</v>
      </c>
      <c r="F56" s="504">
        <v>12115</v>
      </c>
      <c r="G56" s="549">
        <v>3253</v>
      </c>
      <c r="H56" s="549">
        <v>12950</v>
      </c>
      <c r="I56" s="549">
        <v>14046</v>
      </c>
      <c r="J56" s="504">
        <v>30687</v>
      </c>
      <c r="K56" s="549">
        <v>13493</v>
      </c>
    </row>
    <row r="57" spans="1:11" ht="12" customHeight="1">
      <c r="A57" s="444"/>
      <c r="B57" s="531" t="s">
        <v>251</v>
      </c>
      <c r="C57" s="531"/>
      <c r="D57" s="531"/>
      <c r="E57" s="499">
        <v>67824</v>
      </c>
      <c r="F57" s="499">
        <v>151417</v>
      </c>
      <c r="G57" s="499">
        <v>82534</v>
      </c>
      <c r="H57" s="546">
        <v>161454</v>
      </c>
      <c r="I57" s="499">
        <v>66214</v>
      </c>
      <c r="J57" s="499">
        <v>148399</v>
      </c>
      <c r="K57" s="499">
        <v>71325</v>
      </c>
    </row>
    <row r="58" spans="1:11" ht="12" customHeight="1">
      <c r="A58" s="444"/>
      <c r="B58" s="532"/>
      <c r="C58" s="532" t="s">
        <v>252</v>
      </c>
      <c r="D58" s="532"/>
      <c r="E58" s="547">
        <v>9549</v>
      </c>
      <c r="F58" s="501">
        <v>17010</v>
      </c>
      <c r="G58" s="547">
        <v>11592</v>
      </c>
      <c r="H58" s="547">
        <v>20651</v>
      </c>
      <c r="I58" s="547">
        <v>9360.3452500000003</v>
      </c>
      <c r="J58" s="501">
        <v>18122</v>
      </c>
      <c r="K58" s="547">
        <v>7783</v>
      </c>
    </row>
    <row r="59" spans="1:11" ht="12" customHeight="1">
      <c r="A59" s="444"/>
      <c r="B59" s="532"/>
      <c r="C59" s="532" t="s">
        <v>253</v>
      </c>
      <c r="D59" s="532"/>
      <c r="E59" s="547">
        <v>6116</v>
      </c>
      <c r="F59" s="501">
        <v>19405</v>
      </c>
      <c r="G59" s="547">
        <v>7549</v>
      </c>
      <c r="H59" s="547">
        <v>17243</v>
      </c>
      <c r="I59" s="547">
        <v>10002</v>
      </c>
      <c r="J59" s="501">
        <v>22289</v>
      </c>
      <c r="K59" s="547">
        <v>9341</v>
      </c>
    </row>
    <row r="60" spans="1:11" ht="12" customHeight="1">
      <c r="A60" s="444"/>
      <c r="B60" s="532"/>
      <c r="C60" s="532" t="s">
        <v>254</v>
      </c>
      <c r="D60" s="532"/>
      <c r="E60" s="557">
        <v>3569</v>
      </c>
      <c r="F60" s="501">
        <v>8655</v>
      </c>
      <c r="G60" s="557">
        <v>3267</v>
      </c>
      <c r="H60" s="547">
        <v>6570</v>
      </c>
      <c r="I60" s="557">
        <v>4212.0077439999995</v>
      </c>
      <c r="J60" s="501">
        <v>7886</v>
      </c>
      <c r="K60" s="557">
        <v>3055</v>
      </c>
    </row>
    <row r="61" spans="1:11" ht="12" customHeight="1">
      <c r="A61" s="444"/>
      <c r="B61" s="532"/>
      <c r="C61" s="532" t="s">
        <v>255</v>
      </c>
      <c r="D61" s="532"/>
      <c r="E61" s="547">
        <v>4646</v>
      </c>
      <c r="F61" s="501">
        <v>9540</v>
      </c>
      <c r="G61" s="547">
        <v>3052</v>
      </c>
      <c r="H61" s="547">
        <v>4523</v>
      </c>
      <c r="I61" s="547">
        <v>2112</v>
      </c>
      <c r="J61" s="501">
        <v>6024</v>
      </c>
      <c r="K61" s="547">
        <v>4534</v>
      </c>
    </row>
    <row r="62" spans="1:11" ht="12" customHeight="1">
      <c r="A62" s="444"/>
      <c r="B62" s="532"/>
      <c r="C62" s="532" t="s">
        <v>256</v>
      </c>
      <c r="D62" s="532"/>
      <c r="E62" s="547">
        <v>1163</v>
      </c>
      <c r="F62" s="501">
        <v>3117</v>
      </c>
      <c r="G62" s="547">
        <v>379</v>
      </c>
      <c r="H62" s="547">
        <v>979</v>
      </c>
      <c r="I62" s="547">
        <v>555</v>
      </c>
      <c r="J62" s="501">
        <v>1179</v>
      </c>
      <c r="K62" s="547">
        <v>1238</v>
      </c>
    </row>
    <row r="63" spans="1:11" ht="12" customHeight="1">
      <c r="A63" s="444"/>
      <c r="B63" s="532"/>
      <c r="C63" s="532" t="s">
        <v>257</v>
      </c>
      <c r="D63" s="532"/>
      <c r="E63" s="547">
        <v>16563</v>
      </c>
      <c r="F63" s="501">
        <v>35804</v>
      </c>
      <c r="G63" s="547">
        <v>19807</v>
      </c>
      <c r="H63" s="547">
        <v>43395</v>
      </c>
      <c r="I63" s="547">
        <v>23584</v>
      </c>
      <c r="J63" s="501">
        <v>48796</v>
      </c>
      <c r="K63" s="547">
        <v>20613</v>
      </c>
    </row>
    <row r="64" spans="1:11" ht="12" customHeight="1">
      <c r="A64" s="444"/>
      <c r="B64" s="532"/>
      <c r="C64" s="532" t="s">
        <v>258</v>
      </c>
      <c r="D64" s="532"/>
      <c r="E64" s="622" t="s">
        <v>32</v>
      </c>
      <c r="F64" s="502" t="s">
        <v>32</v>
      </c>
      <c r="G64" s="622" t="s">
        <v>206</v>
      </c>
      <c r="H64" s="525" t="s">
        <v>206</v>
      </c>
      <c r="I64" s="622" t="s">
        <v>32</v>
      </c>
      <c r="J64" s="525" t="s">
        <v>206</v>
      </c>
      <c r="K64" s="622" t="s">
        <v>206</v>
      </c>
    </row>
    <row r="65" spans="1:11" ht="12" customHeight="1">
      <c r="A65" s="444"/>
      <c r="B65" s="533"/>
      <c r="C65" s="533" t="s">
        <v>270</v>
      </c>
      <c r="D65" s="533"/>
      <c r="E65" s="549">
        <v>26216</v>
      </c>
      <c r="F65" s="504">
        <v>57882</v>
      </c>
      <c r="G65" s="549">
        <v>36886</v>
      </c>
      <c r="H65" s="549">
        <v>68089</v>
      </c>
      <c r="I65" s="549">
        <v>16251</v>
      </c>
      <c r="J65" s="504">
        <v>44101</v>
      </c>
      <c r="K65" s="549">
        <v>24756</v>
      </c>
    </row>
    <row r="66" spans="1:11" ht="12" customHeight="1">
      <c r="A66" s="444"/>
      <c r="B66" s="430"/>
      <c r="C66" s="444"/>
      <c r="D66" s="444"/>
      <c r="E66" s="464"/>
      <c r="F66" s="464"/>
      <c r="G66" s="464"/>
      <c r="H66" s="464"/>
      <c r="I66" s="464"/>
      <c r="J66" s="464"/>
      <c r="K66" s="464"/>
    </row>
    <row r="67" spans="1:11" ht="12" customHeight="1">
      <c r="A67" s="444" t="s">
        <v>271</v>
      </c>
      <c r="B67" s="444"/>
      <c r="C67" s="444"/>
      <c r="D67" s="444"/>
      <c r="E67" s="464"/>
      <c r="F67" s="464"/>
      <c r="G67" s="464"/>
      <c r="H67" s="464"/>
      <c r="I67" s="464"/>
      <c r="J67" s="464"/>
      <c r="K67" s="464"/>
    </row>
    <row r="68" spans="1:11" ht="12" customHeight="1">
      <c r="A68" s="444"/>
      <c r="B68" s="531" t="s">
        <v>261</v>
      </c>
      <c r="C68" s="531"/>
      <c r="D68" s="531"/>
      <c r="E68" s="546">
        <v>87272</v>
      </c>
      <c r="F68" s="546">
        <v>215378</v>
      </c>
      <c r="G68" s="546">
        <v>106776</v>
      </c>
      <c r="H68" s="546">
        <v>272752</v>
      </c>
      <c r="I68" s="546">
        <v>135136</v>
      </c>
      <c r="J68" s="546">
        <v>343261</v>
      </c>
      <c r="K68" s="546">
        <v>159805</v>
      </c>
    </row>
    <row r="69" spans="1:11" ht="12" customHeight="1">
      <c r="A69" s="444"/>
      <c r="B69" s="532"/>
      <c r="C69" s="532" t="s">
        <v>262</v>
      </c>
      <c r="D69" s="532"/>
      <c r="E69" s="547">
        <v>86863</v>
      </c>
      <c r="F69" s="547">
        <v>214512</v>
      </c>
      <c r="G69" s="547">
        <v>106592</v>
      </c>
      <c r="H69" s="547">
        <v>269947</v>
      </c>
      <c r="I69" s="547">
        <v>131815</v>
      </c>
      <c r="J69" s="547">
        <v>336176</v>
      </c>
      <c r="K69" s="547">
        <v>157357</v>
      </c>
    </row>
    <row r="70" spans="1:11" ht="12" customHeight="1">
      <c r="A70" s="444"/>
      <c r="B70" s="532"/>
      <c r="C70" s="532"/>
      <c r="D70" s="532" t="s">
        <v>263</v>
      </c>
      <c r="E70" s="547">
        <v>12702</v>
      </c>
      <c r="F70" s="547">
        <v>34622</v>
      </c>
      <c r="G70" s="547">
        <v>20850</v>
      </c>
      <c r="H70" s="547">
        <v>55944</v>
      </c>
      <c r="I70" s="547">
        <v>28545</v>
      </c>
      <c r="J70" s="547">
        <v>55899</v>
      </c>
      <c r="K70" s="547">
        <v>19326</v>
      </c>
    </row>
    <row r="71" spans="1:11" ht="12" customHeight="1">
      <c r="A71" s="444"/>
      <c r="B71" s="532"/>
      <c r="C71" s="532"/>
      <c r="D71" s="532" t="s">
        <v>264</v>
      </c>
      <c r="E71" s="547">
        <v>74160</v>
      </c>
      <c r="F71" s="547">
        <v>179889</v>
      </c>
      <c r="G71" s="547">
        <v>85742</v>
      </c>
      <c r="H71" s="547">
        <v>214002</v>
      </c>
      <c r="I71" s="547">
        <v>103270</v>
      </c>
      <c r="J71" s="547">
        <v>280277</v>
      </c>
      <c r="K71" s="547">
        <v>138030</v>
      </c>
    </row>
    <row r="72" spans="1:11" ht="12" customHeight="1">
      <c r="A72" s="444"/>
      <c r="B72" s="533"/>
      <c r="C72" s="533" t="s">
        <v>265</v>
      </c>
      <c r="D72" s="533"/>
      <c r="E72" s="547">
        <v>408</v>
      </c>
      <c r="F72" s="549">
        <v>865</v>
      </c>
      <c r="G72" s="547">
        <v>184</v>
      </c>
      <c r="H72" s="549">
        <v>2805</v>
      </c>
      <c r="I72" s="547">
        <v>3320</v>
      </c>
      <c r="J72" s="549">
        <v>7084</v>
      </c>
      <c r="K72" s="547">
        <v>2447</v>
      </c>
    </row>
    <row r="73" spans="1:11" ht="12" customHeight="1">
      <c r="A73" s="444"/>
      <c r="B73" s="531" t="s">
        <v>266</v>
      </c>
      <c r="C73" s="531"/>
      <c r="D73" s="531"/>
      <c r="E73" s="546">
        <v>67824</v>
      </c>
      <c r="F73" s="546">
        <v>151417</v>
      </c>
      <c r="G73" s="546">
        <v>82534</v>
      </c>
      <c r="H73" s="546">
        <v>161454</v>
      </c>
      <c r="I73" s="546">
        <v>66078</v>
      </c>
      <c r="J73" s="546">
        <v>148399</v>
      </c>
      <c r="K73" s="546">
        <v>71325</v>
      </c>
    </row>
    <row r="74" spans="1:11" ht="12" customHeight="1">
      <c r="A74" s="444"/>
      <c r="B74" s="532"/>
      <c r="C74" s="532" t="s">
        <v>262</v>
      </c>
      <c r="D74" s="532"/>
      <c r="E74" s="547">
        <v>67880</v>
      </c>
      <c r="F74" s="547">
        <v>151314</v>
      </c>
      <c r="G74" s="547">
        <v>82263</v>
      </c>
      <c r="H74" s="547">
        <v>161506</v>
      </c>
      <c r="I74" s="547">
        <v>66018</v>
      </c>
      <c r="J74" s="547">
        <v>147324</v>
      </c>
      <c r="K74" s="547">
        <v>71314</v>
      </c>
    </row>
    <row r="75" spans="1:11" ht="12" customHeight="1">
      <c r="A75" s="444"/>
      <c r="B75" s="532"/>
      <c r="C75" s="532"/>
      <c r="D75" s="532" t="s">
        <v>263</v>
      </c>
      <c r="E75" s="547">
        <v>36680</v>
      </c>
      <c r="F75" s="547">
        <v>79211</v>
      </c>
      <c r="G75" s="547">
        <v>42208</v>
      </c>
      <c r="H75" s="547">
        <v>85388</v>
      </c>
      <c r="I75" s="547">
        <v>40160</v>
      </c>
      <c r="J75" s="547">
        <v>86023</v>
      </c>
      <c r="K75" s="547">
        <v>41997</v>
      </c>
    </row>
    <row r="76" spans="1:11" ht="12" customHeight="1">
      <c r="A76" s="444"/>
      <c r="B76" s="532"/>
      <c r="C76" s="532"/>
      <c r="D76" s="532" t="s">
        <v>264</v>
      </c>
      <c r="E76" s="547">
        <v>31200</v>
      </c>
      <c r="F76" s="547">
        <v>72102</v>
      </c>
      <c r="G76" s="547">
        <v>40054</v>
      </c>
      <c r="H76" s="547">
        <v>76118</v>
      </c>
      <c r="I76" s="547">
        <v>25857</v>
      </c>
      <c r="J76" s="547">
        <v>61300</v>
      </c>
      <c r="K76" s="547">
        <v>29316</v>
      </c>
    </row>
    <row r="77" spans="1:11" ht="12" customHeight="1">
      <c r="A77" s="444"/>
      <c r="B77" s="533"/>
      <c r="C77" s="533" t="s">
        <v>265</v>
      </c>
      <c r="D77" s="533"/>
      <c r="E77" s="549">
        <v>-55</v>
      </c>
      <c r="F77" s="549">
        <v>102</v>
      </c>
      <c r="G77" s="549">
        <v>271</v>
      </c>
      <c r="H77" s="549">
        <v>-52</v>
      </c>
      <c r="I77" s="549">
        <v>60</v>
      </c>
      <c r="J77" s="549">
        <v>1075</v>
      </c>
      <c r="K77" s="549">
        <v>11</v>
      </c>
    </row>
    <row r="78" spans="1:11" ht="12" customHeight="1">
      <c r="A78" s="444"/>
      <c r="B78" s="444"/>
      <c r="C78" s="444"/>
      <c r="D78" s="444"/>
      <c r="E78" s="496"/>
      <c r="F78" s="496"/>
      <c r="G78" s="496"/>
      <c r="H78" s="496"/>
      <c r="I78" s="496"/>
      <c r="J78" s="496"/>
      <c r="K78" s="496"/>
    </row>
    <row r="79" spans="1:11" ht="12" customHeight="1">
      <c r="A79" s="444"/>
      <c r="B79" s="444"/>
      <c r="C79" s="444"/>
      <c r="D79" s="444"/>
      <c r="E79" s="496"/>
      <c r="F79" s="496"/>
      <c r="G79" s="496"/>
      <c r="H79" s="496"/>
      <c r="I79" s="496"/>
      <c r="J79" s="496"/>
      <c r="K79" s="496"/>
    </row>
    <row r="80" spans="1:11" ht="12" customHeight="1">
      <c r="A80" s="444" t="s">
        <v>272</v>
      </c>
      <c r="B80" s="444"/>
      <c r="C80" s="444"/>
      <c r="D80" s="444"/>
      <c r="E80" s="464"/>
      <c r="F80" s="464"/>
      <c r="G80" s="464"/>
      <c r="H80" s="464"/>
      <c r="I80" s="464"/>
      <c r="J80" s="464"/>
      <c r="K80" s="464"/>
    </row>
    <row r="81" spans="1:11" ht="12" customHeight="1">
      <c r="A81" s="444"/>
      <c r="B81" s="531" t="s">
        <v>240</v>
      </c>
      <c r="C81" s="531"/>
      <c r="D81" s="531"/>
      <c r="E81" s="546">
        <v>416987</v>
      </c>
      <c r="F81" s="546">
        <v>439649</v>
      </c>
      <c r="G81" s="546">
        <v>480916</v>
      </c>
      <c r="H81" s="546">
        <v>465206</v>
      </c>
      <c r="I81" s="546">
        <v>450655</v>
      </c>
      <c r="J81" s="546">
        <v>513960</v>
      </c>
      <c r="K81" s="546">
        <v>586097</v>
      </c>
    </row>
    <row r="82" spans="1:11" ht="12" customHeight="1">
      <c r="A82" s="444"/>
      <c r="B82" s="532"/>
      <c r="C82" s="532" t="s">
        <v>241</v>
      </c>
      <c r="D82" s="532"/>
      <c r="E82" s="547">
        <v>27247</v>
      </c>
      <c r="F82" s="501">
        <v>17986</v>
      </c>
      <c r="G82" s="547">
        <v>43293</v>
      </c>
      <c r="H82" s="547">
        <v>45408</v>
      </c>
      <c r="I82" s="547">
        <v>40555</v>
      </c>
      <c r="J82" s="501">
        <v>53258</v>
      </c>
      <c r="K82" s="547">
        <v>79580</v>
      </c>
    </row>
    <row r="83" spans="1:11" ht="12" customHeight="1">
      <c r="A83" s="444"/>
      <c r="B83" s="532"/>
      <c r="C83" s="532" t="s">
        <v>242</v>
      </c>
      <c r="D83" s="532"/>
      <c r="E83" s="547">
        <v>6669</v>
      </c>
      <c r="F83" s="501">
        <v>17497</v>
      </c>
      <c r="G83" s="547">
        <v>22248</v>
      </c>
      <c r="H83" s="547">
        <v>23549</v>
      </c>
      <c r="I83" s="547">
        <v>28538</v>
      </c>
      <c r="J83" s="501">
        <v>25679</v>
      </c>
      <c r="K83" s="547">
        <v>17372</v>
      </c>
    </row>
    <row r="84" spans="1:11" ht="12" customHeight="1">
      <c r="A84" s="444"/>
      <c r="B84" s="532"/>
      <c r="C84" s="532" t="s">
        <v>243</v>
      </c>
      <c r="D84" s="532"/>
      <c r="E84" s="557">
        <v>2321</v>
      </c>
      <c r="F84" s="501">
        <v>2068</v>
      </c>
      <c r="G84" s="557">
        <v>1770</v>
      </c>
      <c r="H84" s="547">
        <v>1011</v>
      </c>
      <c r="I84" s="557">
        <v>8560</v>
      </c>
      <c r="J84" s="501">
        <v>5807</v>
      </c>
      <c r="K84" s="557">
        <v>5246</v>
      </c>
    </row>
    <row r="85" spans="1:11" ht="12" customHeight="1">
      <c r="A85" s="444"/>
      <c r="B85" s="532"/>
      <c r="C85" s="532" t="s">
        <v>244</v>
      </c>
      <c r="D85" s="532"/>
      <c r="E85" s="547">
        <v>55217</v>
      </c>
      <c r="F85" s="501">
        <v>75043</v>
      </c>
      <c r="G85" s="547">
        <v>69868</v>
      </c>
      <c r="H85" s="547">
        <v>79414</v>
      </c>
      <c r="I85" s="547">
        <v>66595</v>
      </c>
      <c r="J85" s="501">
        <v>52050</v>
      </c>
      <c r="K85" s="547">
        <v>66958</v>
      </c>
    </row>
    <row r="86" spans="1:11" ht="12" customHeight="1">
      <c r="A86" s="444"/>
      <c r="B86" s="532"/>
      <c r="C86" s="532" t="s">
        <v>245</v>
      </c>
      <c r="D86" s="532"/>
      <c r="E86" s="547">
        <v>49958</v>
      </c>
      <c r="F86" s="501">
        <v>44211</v>
      </c>
      <c r="G86" s="547">
        <v>50696</v>
      </c>
      <c r="H86" s="547">
        <v>36215</v>
      </c>
      <c r="I86" s="547">
        <v>48904</v>
      </c>
      <c r="J86" s="501">
        <v>78576</v>
      </c>
      <c r="K86" s="547">
        <v>71226</v>
      </c>
    </row>
    <row r="87" spans="1:11" ht="12" customHeight="1">
      <c r="A87" s="444"/>
      <c r="B87" s="532"/>
      <c r="C87" s="532" t="s">
        <v>246</v>
      </c>
      <c r="D87" s="532"/>
      <c r="E87" s="547">
        <v>201401</v>
      </c>
      <c r="F87" s="501">
        <v>204522</v>
      </c>
      <c r="G87" s="547">
        <v>201277</v>
      </c>
      <c r="H87" s="547">
        <v>177010</v>
      </c>
      <c r="I87" s="547">
        <v>146462</v>
      </c>
      <c r="J87" s="501">
        <v>185572</v>
      </c>
      <c r="K87" s="547">
        <v>172220</v>
      </c>
    </row>
    <row r="88" spans="1:11" ht="12" customHeight="1">
      <c r="A88" s="444"/>
      <c r="B88" s="532"/>
      <c r="C88" s="532" t="s">
        <v>247</v>
      </c>
      <c r="D88" s="532"/>
      <c r="E88" s="547">
        <v>57384</v>
      </c>
      <c r="F88" s="501">
        <v>61934</v>
      </c>
      <c r="G88" s="547">
        <v>54788</v>
      </c>
      <c r="H88" s="547">
        <v>55307</v>
      </c>
      <c r="I88" s="547">
        <v>46384</v>
      </c>
      <c r="J88" s="501">
        <v>50518</v>
      </c>
      <c r="K88" s="547">
        <v>120368</v>
      </c>
    </row>
    <row r="89" spans="1:11" ht="12" customHeight="1">
      <c r="A89" s="444"/>
      <c r="B89" s="532"/>
      <c r="C89" s="532" t="s">
        <v>248</v>
      </c>
      <c r="D89" s="532"/>
      <c r="E89" s="547">
        <v>1727</v>
      </c>
      <c r="F89" s="501">
        <v>1582</v>
      </c>
      <c r="G89" s="547">
        <v>2829</v>
      </c>
      <c r="H89" s="547">
        <v>5606</v>
      </c>
      <c r="I89" s="547">
        <v>4249</v>
      </c>
      <c r="J89" s="501">
        <v>11245</v>
      </c>
      <c r="K89" s="547">
        <v>9092</v>
      </c>
    </row>
    <row r="90" spans="1:11" ht="12" customHeight="1">
      <c r="A90" s="444"/>
      <c r="B90" s="532"/>
      <c r="C90" s="532" t="s">
        <v>249</v>
      </c>
      <c r="D90" s="532"/>
      <c r="E90" s="623">
        <v>7036</v>
      </c>
      <c r="F90" s="501">
        <v>3009</v>
      </c>
      <c r="G90" s="623">
        <v>3878</v>
      </c>
      <c r="H90" s="547">
        <v>2414</v>
      </c>
      <c r="I90" s="623">
        <v>15105</v>
      </c>
      <c r="J90" s="501">
        <v>2081</v>
      </c>
      <c r="K90" s="623">
        <v>3406</v>
      </c>
    </row>
    <row r="91" spans="1:11" ht="12" customHeight="1">
      <c r="A91" s="444"/>
      <c r="B91" s="533"/>
      <c r="C91" s="533" t="s">
        <v>250</v>
      </c>
      <c r="D91" s="533"/>
      <c r="E91" s="549">
        <v>8022</v>
      </c>
      <c r="F91" s="504">
        <v>11792</v>
      </c>
      <c r="G91" s="549">
        <v>30265</v>
      </c>
      <c r="H91" s="549">
        <v>39267</v>
      </c>
      <c r="I91" s="549">
        <v>45298</v>
      </c>
      <c r="J91" s="504">
        <v>49169</v>
      </c>
      <c r="K91" s="549">
        <v>40625</v>
      </c>
    </row>
    <row r="92" spans="1:11" ht="12" customHeight="1">
      <c r="A92" s="444"/>
      <c r="B92" s="531" t="s">
        <v>251</v>
      </c>
      <c r="C92" s="531"/>
      <c r="D92" s="531"/>
      <c r="E92" s="499">
        <v>289639</v>
      </c>
      <c r="F92" s="499">
        <v>278539</v>
      </c>
      <c r="G92" s="499">
        <v>255062</v>
      </c>
      <c r="H92" s="546">
        <v>269161</v>
      </c>
      <c r="I92" s="499">
        <v>271700</v>
      </c>
      <c r="J92" s="499">
        <v>287180</v>
      </c>
      <c r="K92" s="499">
        <v>293560</v>
      </c>
    </row>
    <row r="93" spans="1:11" ht="12" customHeight="1">
      <c r="A93" s="444"/>
      <c r="B93" s="532"/>
      <c r="C93" s="532" t="s">
        <v>252</v>
      </c>
      <c r="D93" s="532"/>
      <c r="E93" s="547">
        <v>20041</v>
      </c>
      <c r="F93" s="501">
        <v>22671</v>
      </c>
      <c r="G93" s="547">
        <v>21678</v>
      </c>
      <c r="H93" s="547">
        <v>31248</v>
      </c>
      <c r="I93" s="547">
        <v>24419</v>
      </c>
      <c r="J93" s="501">
        <v>26376</v>
      </c>
      <c r="K93" s="547">
        <v>23737</v>
      </c>
    </row>
    <row r="94" spans="1:11" ht="12" customHeight="1">
      <c r="A94" s="444"/>
      <c r="B94" s="532"/>
      <c r="C94" s="532" t="s">
        <v>253</v>
      </c>
      <c r="D94" s="532"/>
      <c r="E94" s="547">
        <v>85618</v>
      </c>
      <c r="F94" s="501">
        <v>80627</v>
      </c>
      <c r="G94" s="547">
        <v>80196</v>
      </c>
      <c r="H94" s="547">
        <v>90341</v>
      </c>
      <c r="I94" s="547">
        <v>85136</v>
      </c>
      <c r="J94" s="501">
        <v>80540</v>
      </c>
      <c r="K94" s="547">
        <v>75452</v>
      </c>
    </row>
    <row r="95" spans="1:11" ht="12" customHeight="1">
      <c r="A95" s="444"/>
      <c r="B95" s="532"/>
      <c r="C95" s="532" t="s">
        <v>254</v>
      </c>
      <c r="D95" s="532"/>
      <c r="E95" s="547">
        <v>15290</v>
      </c>
      <c r="F95" s="501">
        <v>12433</v>
      </c>
      <c r="G95" s="547">
        <v>16983</v>
      </c>
      <c r="H95" s="547">
        <v>20266</v>
      </c>
      <c r="I95" s="547">
        <v>25335</v>
      </c>
      <c r="J95" s="501">
        <v>30590</v>
      </c>
      <c r="K95" s="547">
        <v>27899</v>
      </c>
    </row>
    <row r="96" spans="1:11" ht="12" customHeight="1">
      <c r="A96" s="444"/>
      <c r="B96" s="532"/>
      <c r="C96" s="532" t="s">
        <v>255</v>
      </c>
      <c r="D96" s="532"/>
      <c r="E96" s="547">
        <v>10099</v>
      </c>
      <c r="F96" s="501">
        <v>8358</v>
      </c>
      <c r="G96" s="547">
        <v>6322</v>
      </c>
      <c r="H96" s="547">
        <v>13175</v>
      </c>
      <c r="I96" s="547">
        <v>13073</v>
      </c>
      <c r="J96" s="501">
        <v>22354</v>
      </c>
      <c r="K96" s="547">
        <v>22803</v>
      </c>
    </row>
    <row r="97" spans="1:11" ht="12" customHeight="1">
      <c r="A97" s="444"/>
      <c r="B97" s="532"/>
      <c r="C97" s="532" t="s">
        <v>256</v>
      </c>
      <c r="D97" s="532"/>
      <c r="E97" s="547">
        <v>2409</v>
      </c>
      <c r="F97" s="501">
        <v>1403</v>
      </c>
      <c r="G97" s="547">
        <v>1401</v>
      </c>
      <c r="H97" s="547">
        <v>3111</v>
      </c>
      <c r="I97" s="547">
        <v>2586</v>
      </c>
      <c r="J97" s="501">
        <v>4587</v>
      </c>
      <c r="K97" s="547">
        <v>4445</v>
      </c>
    </row>
    <row r="98" spans="1:11" ht="12" customHeight="1">
      <c r="A98" s="444"/>
      <c r="B98" s="532"/>
      <c r="C98" s="532" t="s">
        <v>257</v>
      </c>
      <c r="D98" s="532"/>
      <c r="E98" s="547">
        <v>72338</v>
      </c>
      <c r="F98" s="501">
        <v>76833</v>
      </c>
      <c r="G98" s="547">
        <v>68225</v>
      </c>
      <c r="H98" s="547">
        <v>61995</v>
      </c>
      <c r="I98" s="547">
        <v>57879</v>
      </c>
      <c r="J98" s="501">
        <v>61906</v>
      </c>
      <c r="K98" s="547">
        <v>52050</v>
      </c>
    </row>
    <row r="99" spans="1:11" ht="12" customHeight="1">
      <c r="A99" s="444"/>
      <c r="B99" s="532"/>
      <c r="C99" s="532" t="s">
        <v>258</v>
      </c>
      <c r="D99" s="532"/>
      <c r="E99" s="525" t="s">
        <v>32</v>
      </c>
      <c r="F99" s="502" t="s">
        <v>32</v>
      </c>
      <c r="G99" s="525" t="s">
        <v>206</v>
      </c>
      <c r="H99" s="525" t="s">
        <v>206</v>
      </c>
      <c r="I99" s="525" t="s">
        <v>32</v>
      </c>
      <c r="J99" s="525" t="s">
        <v>206</v>
      </c>
      <c r="K99" s="525" t="s">
        <v>206</v>
      </c>
    </row>
    <row r="100" spans="1:11" ht="12" customHeight="1">
      <c r="A100" s="444"/>
      <c r="B100" s="533"/>
      <c r="C100" s="533" t="s">
        <v>270</v>
      </c>
      <c r="D100" s="533"/>
      <c r="E100" s="476">
        <v>83841</v>
      </c>
      <c r="F100" s="504">
        <v>76212</v>
      </c>
      <c r="G100" s="476">
        <v>60254</v>
      </c>
      <c r="H100" s="549">
        <v>49022</v>
      </c>
      <c r="I100" s="476">
        <v>63269</v>
      </c>
      <c r="J100" s="504">
        <v>60824</v>
      </c>
      <c r="K100" s="476">
        <v>87172</v>
      </c>
    </row>
    <row r="101" spans="1:11" ht="12" customHeight="1">
      <c r="A101" s="444"/>
      <c r="B101" s="430"/>
      <c r="C101" s="444"/>
      <c r="D101" s="444"/>
      <c r="E101" s="464"/>
      <c r="F101" s="464"/>
      <c r="G101" s="464"/>
      <c r="H101" s="464"/>
      <c r="I101" s="464"/>
      <c r="J101" s="464"/>
      <c r="K101" s="464"/>
    </row>
    <row r="102" spans="1:11" ht="12" customHeight="1">
      <c r="A102" s="444" t="s">
        <v>273</v>
      </c>
      <c r="B102" s="444"/>
      <c r="C102" s="444"/>
      <c r="D102" s="444"/>
      <c r="E102" s="464"/>
      <c r="F102" s="464"/>
      <c r="G102" s="464"/>
      <c r="H102" s="464"/>
      <c r="I102" s="464"/>
      <c r="J102" s="464"/>
      <c r="K102" s="464"/>
    </row>
    <row r="103" spans="1:11" ht="12" customHeight="1">
      <c r="A103" s="444"/>
      <c r="B103" s="531" t="s">
        <v>261</v>
      </c>
      <c r="C103" s="531"/>
      <c r="D103" s="531"/>
      <c r="E103" s="546">
        <v>416987</v>
      </c>
      <c r="F103" s="546">
        <v>439649</v>
      </c>
      <c r="G103" s="546">
        <v>480916</v>
      </c>
      <c r="H103" s="546">
        <v>465206</v>
      </c>
      <c r="I103" s="546">
        <v>450261</v>
      </c>
      <c r="J103" s="546">
        <v>513960</v>
      </c>
      <c r="K103" s="546">
        <v>586097</v>
      </c>
    </row>
    <row r="104" spans="1:11" ht="12" customHeight="1">
      <c r="A104" s="444"/>
      <c r="B104" s="532"/>
      <c r="C104" s="532" t="s">
        <v>262</v>
      </c>
      <c r="D104" s="532"/>
      <c r="E104" s="547">
        <v>416513</v>
      </c>
      <c r="F104" s="547">
        <v>439533</v>
      </c>
      <c r="G104" s="547">
        <v>478288</v>
      </c>
      <c r="H104" s="547">
        <v>458274</v>
      </c>
      <c r="I104" s="547">
        <v>446423</v>
      </c>
      <c r="J104" s="547">
        <v>511031</v>
      </c>
      <c r="K104" s="547">
        <v>584543</v>
      </c>
    </row>
    <row r="105" spans="1:11" ht="12" customHeight="1">
      <c r="A105" s="444"/>
      <c r="B105" s="532"/>
      <c r="C105" s="532"/>
      <c r="D105" s="532" t="s">
        <v>263</v>
      </c>
      <c r="E105" s="547">
        <v>90713</v>
      </c>
      <c r="F105" s="547">
        <v>101662</v>
      </c>
      <c r="G105" s="547">
        <v>94581</v>
      </c>
      <c r="H105" s="547">
        <v>111731</v>
      </c>
      <c r="I105" s="547">
        <v>97771</v>
      </c>
      <c r="J105" s="547">
        <v>109771</v>
      </c>
      <c r="K105" s="547">
        <v>106385</v>
      </c>
    </row>
    <row r="106" spans="1:11" ht="12" customHeight="1">
      <c r="A106" s="444"/>
      <c r="B106" s="532"/>
      <c r="C106" s="532"/>
      <c r="D106" s="532" t="s">
        <v>264</v>
      </c>
      <c r="E106" s="547">
        <v>325799</v>
      </c>
      <c r="F106" s="547">
        <v>337871</v>
      </c>
      <c r="G106" s="547">
        <v>383707</v>
      </c>
      <c r="H106" s="547">
        <v>346542</v>
      </c>
      <c r="I106" s="547">
        <v>348651</v>
      </c>
      <c r="J106" s="547">
        <v>401260</v>
      </c>
      <c r="K106" s="547">
        <v>478157</v>
      </c>
    </row>
    <row r="107" spans="1:11" ht="12" customHeight="1">
      <c r="A107" s="444"/>
      <c r="B107" s="533"/>
      <c r="C107" s="533" t="s">
        <v>265</v>
      </c>
      <c r="D107" s="533"/>
      <c r="E107" s="547">
        <v>474</v>
      </c>
      <c r="F107" s="549">
        <v>115</v>
      </c>
      <c r="G107" s="547">
        <v>2628</v>
      </c>
      <c r="H107" s="549">
        <v>6932</v>
      </c>
      <c r="I107" s="547">
        <v>3838</v>
      </c>
      <c r="J107" s="549">
        <v>2928</v>
      </c>
      <c r="K107" s="547">
        <v>1554</v>
      </c>
    </row>
    <row r="108" spans="1:11" ht="12" customHeight="1">
      <c r="A108" s="444"/>
      <c r="B108" s="531" t="s">
        <v>266</v>
      </c>
      <c r="C108" s="531"/>
      <c r="D108" s="531"/>
      <c r="E108" s="546">
        <v>289639</v>
      </c>
      <c r="F108" s="546">
        <v>278539</v>
      </c>
      <c r="G108" s="546">
        <v>255062</v>
      </c>
      <c r="H108" s="546">
        <v>269161</v>
      </c>
      <c r="I108" s="546">
        <v>271700</v>
      </c>
      <c r="J108" s="546">
        <v>287180</v>
      </c>
      <c r="K108" s="546">
        <v>293560</v>
      </c>
    </row>
    <row r="109" spans="1:11" ht="12" customHeight="1">
      <c r="A109" s="444"/>
      <c r="B109" s="532"/>
      <c r="C109" s="532" t="s">
        <v>262</v>
      </c>
      <c r="D109" s="532"/>
      <c r="E109" s="547">
        <v>288968</v>
      </c>
      <c r="F109" s="547">
        <v>278053</v>
      </c>
      <c r="G109" s="547">
        <v>254750</v>
      </c>
      <c r="H109" s="547">
        <v>268575</v>
      </c>
      <c r="I109" s="547">
        <v>271195</v>
      </c>
      <c r="J109" s="547">
        <v>287180</v>
      </c>
      <c r="K109" s="547">
        <v>293560</v>
      </c>
    </row>
    <row r="110" spans="1:11" ht="12" customHeight="1">
      <c r="A110" s="444"/>
      <c r="B110" s="532"/>
      <c r="C110" s="532"/>
      <c r="D110" s="532" t="s">
        <v>263</v>
      </c>
      <c r="E110" s="547">
        <v>129997</v>
      </c>
      <c r="F110" s="547">
        <v>133513</v>
      </c>
      <c r="G110" s="547">
        <v>125022</v>
      </c>
      <c r="H110" s="547">
        <v>138385</v>
      </c>
      <c r="I110" s="547">
        <v>139907</v>
      </c>
      <c r="J110" s="547">
        <v>153069</v>
      </c>
      <c r="K110" s="547">
        <v>142815</v>
      </c>
    </row>
    <row r="111" spans="1:11" ht="12" customHeight="1">
      <c r="A111" s="444"/>
      <c r="B111" s="532"/>
      <c r="C111" s="532"/>
      <c r="D111" s="532" t="s">
        <v>264</v>
      </c>
      <c r="E111" s="547">
        <v>158970</v>
      </c>
      <c r="F111" s="547">
        <v>144539</v>
      </c>
      <c r="G111" s="547">
        <v>129727</v>
      </c>
      <c r="H111" s="547">
        <v>130190</v>
      </c>
      <c r="I111" s="547">
        <v>131288</v>
      </c>
      <c r="J111" s="547">
        <v>134110</v>
      </c>
      <c r="K111" s="547">
        <v>150745</v>
      </c>
    </row>
    <row r="112" spans="1:11" ht="12" customHeight="1">
      <c r="A112" s="444"/>
      <c r="B112" s="533"/>
      <c r="C112" s="533" t="s">
        <v>265</v>
      </c>
      <c r="D112" s="533"/>
      <c r="E112" s="549">
        <v>671</v>
      </c>
      <c r="F112" s="549">
        <v>486</v>
      </c>
      <c r="G112" s="549">
        <v>312</v>
      </c>
      <c r="H112" s="549">
        <v>585</v>
      </c>
      <c r="I112" s="549">
        <v>504</v>
      </c>
      <c r="J112" s="549">
        <v>0</v>
      </c>
      <c r="K112" s="549">
        <v>0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58" orientation="portrait" r:id="rId1"/>
  <headerFoot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8DEAF-E4EC-4220-879E-5987FB1A5710}">
  <sheetPr>
    <pageSetUpPr fitToPage="1"/>
  </sheetPr>
  <dimension ref="A1:M28"/>
  <sheetViews>
    <sheetView tabSelected="1" view="pageBreakPreview" zoomScaleNormal="100" zoomScaleSheetLayoutView="100" workbookViewId="0">
      <selection activeCell="I10" sqref="I10"/>
    </sheetView>
  </sheetViews>
  <sheetFormatPr defaultColWidth="9" defaultRowHeight="12" customHeight="1"/>
  <cols>
    <col min="1" max="1" width="2.109375" style="433" customWidth="1"/>
    <col min="2" max="3" width="1.6640625" style="433" customWidth="1"/>
    <col min="4" max="4" width="24.77734375" style="433" customWidth="1"/>
    <col min="5" max="7" width="12.109375" style="433" customWidth="1"/>
    <col min="8" max="9" width="12.109375" style="430" customWidth="1"/>
    <col min="10" max="10" width="12.109375" style="433" customWidth="1"/>
    <col min="11" max="11" width="12.109375" style="430" customWidth="1"/>
    <col min="12" max="12" width="9" style="625"/>
    <col min="13" max="16384" width="9" style="433"/>
  </cols>
  <sheetData>
    <row r="1" spans="1:13" ht="12" customHeight="1">
      <c r="A1" s="444"/>
      <c r="B1" s="444"/>
      <c r="C1" s="444"/>
      <c r="D1" s="444"/>
      <c r="E1" s="431"/>
      <c r="F1" s="465"/>
      <c r="G1" s="465"/>
      <c r="H1" s="432"/>
      <c r="I1" s="432"/>
      <c r="J1" s="432"/>
      <c r="K1" s="432" t="s">
        <v>274</v>
      </c>
    </row>
    <row r="2" spans="1:13" ht="12" customHeight="1">
      <c r="A2" s="445" t="s">
        <v>183</v>
      </c>
      <c r="B2" s="445"/>
      <c r="C2" s="445"/>
      <c r="D2" s="445"/>
      <c r="E2" s="451">
        <v>2022.9</v>
      </c>
      <c r="F2" s="452">
        <v>2023.3</v>
      </c>
      <c r="G2" s="451">
        <v>2023.9</v>
      </c>
      <c r="H2" s="452">
        <v>2024.3</v>
      </c>
      <c r="I2" s="451">
        <v>2024.9</v>
      </c>
      <c r="J2" s="452">
        <v>2025.3</v>
      </c>
      <c r="K2" s="451">
        <v>2025.9</v>
      </c>
    </row>
    <row r="3" spans="1:13" ht="12" customHeight="1">
      <c r="A3" s="482"/>
      <c r="B3" s="482"/>
      <c r="C3" s="482"/>
      <c r="D3" s="482"/>
      <c r="E3" s="465"/>
      <c r="F3" s="483"/>
      <c r="G3" s="465"/>
      <c r="H3" s="436"/>
      <c r="I3" s="465"/>
      <c r="J3" s="483"/>
      <c r="K3" s="465"/>
    </row>
    <row r="4" spans="1:13" ht="12" customHeight="1">
      <c r="A4" s="444"/>
      <c r="B4" s="445" t="s">
        <v>275</v>
      </c>
      <c r="C4" s="445"/>
      <c r="D4" s="445"/>
      <c r="E4" s="550">
        <v>313490</v>
      </c>
      <c r="F4" s="550">
        <v>711810</v>
      </c>
      <c r="G4" s="550">
        <v>358832</v>
      </c>
      <c r="H4" s="550">
        <v>793264</v>
      </c>
      <c r="I4" s="550">
        <v>380739</v>
      </c>
      <c r="J4" s="550">
        <v>847548</v>
      </c>
      <c r="K4" s="550">
        <v>424506</v>
      </c>
    </row>
    <row r="5" spans="1:13" ht="12" customHeight="1">
      <c r="A5" s="444"/>
      <c r="B5" s="531"/>
      <c r="C5" s="531" t="s">
        <v>276</v>
      </c>
      <c r="D5" s="531"/>
      <c r="E5" s="585">
        <v>86916</v>
      </c>
      <c r="F5" s="505">
        <v>214411</v>
      </c>
      <c r="G5" s="585">
        <v>108365</v>
      </c>
      <c r="H5" s="517">
        <v>273698</v>
      </c>
      <c r="I5" s="546">
        <v>156418</v>
      </c>
      <c r="J5" s="546">
        <v>363448</v>
      </c>
      <c r="K5" s="585">
        <v>183905</v>
      </c>
    </row>
    <row r="6" spans="1:13" ht="12" customHeight="1">
      <c r="A6" s="444"/>
      <c r="B6" s="532"/>
      <c r="C6" s="532" t="s">
        <v>277</v>
      </c>
      <c r="D6" s="532"/>
      <c r="E6" s="525">
        <v>68553</v>
      </c>
      <c r="F6" s="502">
        <v>152074</v>
      </c>
      <c r="G6" s="525">
        <v>82557</v>
      </c>
      <c r="H6" s="525">
        <v>162425</v>
      </c>
      <c r="I6" s="525">
        <v>67047</v>
      </c>
      <c r="J6" s="502">
        <v>146354</v>
      </c>
      <c r="K6" s="525">
        <v>78972</v>
      </c>
    </row>
    <row r="7" spans="1:13" ht="12" customHeight="1">
      <c r="A7" s="444"/>
      <c r="B7" s="532"/>
      <c r="C7" s="532" t="s">
        <v>278</v>
      </c>
      <c r="D7" s="532"/>
      <c r="E7" s="585">
        <v>109111</v>
      </c>
      <c r="F7" s="502">
        <v>244061</v>
      </c>
      <c r="G7" s="585">
        <v>118997</v>
      </c>
      <c r="H7" s="525">
        <v>251782</v>
      </c>
      <c r="I7" s="585">
        <v>123003</v>
      </c>
      <c r="J7" s="502">
        <v>263101</v>
      </c>
      <c r="K7" s="585">
        <v>125209</v>
      </c>
    </row>
    <row r="8" spans="1:13" ht="12" customHeight="1">
      <c r="A8" s="444"/>
      <c r="B8" s="532"/>
      <c r="C8" s="532" t="s">
        <v>279</v>
      </c>
      <c r="D8" s="532"/>
      <c r="E8" s="525">
        <v>16320</v>
      </c>
      <c r="F8" s="502">
        <v>37340</v>
      </c>
      <c r="G8" s="525">
        <v>19352</v>
      </c>
      <c r="H8" s="525">
        <v>39770</v>
      </c>
      <c r="I8" s="525">
        <v>19958</v>
      </c>
      <c r="J8" s="502">
        <v>41020</v>
      </c>
      <c r="K8" s="525">
        <v>17452</v>
      </c>
    </row>
    <row r="9" spans="1:13" ht="12" customHeight="1">
      <c r="A9" s="444"/>
      <c r="B9" s="532"/>
      <c r="C9" s="532" t="s">
        <v>280</v>
      </c>
      <c r="D9" s="532"/>
      <c r="E9" s="525">
        <v>14734</v>
      </c>
      <c r="F9" s="502">
        <v>22559</v>
      </c>
      <c r="G9" s="525">
        <v>8315</v>
      </c>
      <c r="H9" s="525">
        <v>18373</v>
      </c>
      <c r="I9" s="525">
        <v>13076</v>
      </c>
      <c r="J9" s="502">
        <v>30777</v>
      </c>
      <c r="K9" s="525">
        <v>17775</v>
      </c>
    </row>
    <row r="10" spans="1:13" ht="12" customHeight="1">
      <c r="A10" s="444"/>
      <c r="B10" s="532"/>
      <c r="C10" s="532" t="s">
        <v>281</v>
      </c>
      <c r="D10" s="532"/>
      <c r="E10" s="502" t="s">
        <v>32</v>
      </c>
      <c r="F10" s="502" t="s">
        <v>32</v>
      </c>
      <c r="G10" s="502" t="s">
        <v>32</v>
      </c>
      <c r="H10" s="502" t="s">
        <v>32</v>
      </c>
      <c r="I10" s="502" t="s">
        <v>32</v>
      </c>
      <c r="J10" s="502" t="s">
        <v>32</v>
      </c>
      <c r="K10" s="502" t="s">
        <v>32</v>
      </c>
    </row>
    <row r="11" spans="1:13" ht="12" customHeight="1">
      <c r="A11" s="444"/>
      <c r="B11" s="533"/>
      <c r="C11" s="533" t="s">
        <v>250</v>
      </c>
      <c r="D11" s="533"/>
      <c r="E11" s="552">
        <v>17853</v>
      </c>
      <c r="F11" s="551">
        <v>41363</v>
      </c>
      <c r="G11" s="552">
        <v>21244</v>
      </c>
      <c r="H11" s="552">
        <v>47214</v>
      </c>
      <c r="I11" s="552">
        <v>1235</v>
      </c>
      <c r="J11" s="551">
        <v>2846</v>
      </c>
      <c r="K11" s="552">
        <v>1191</v>
      </c>
    </row>
    <row r="12" spans="1:13" ht="12" customHeight="1">
      <c r="A12" s="444"/>
      <c r="B12" s="531" t="s">
        <v>282</v>
      </c>
      <c r="C12" s="531"/>
      <c r="D12" s="531"/>
      <c r="E12" s="505">
        <v>42824</v>
      </c>
      <c r="F12" s="505">
        <v>97740</v>
      </c>
      <c r="G12" s="505">
        <v>51415</v>
      </c>
      <c r="H12" s="505">
        <v>111885</v>
      </c>
      <c r="I12" s="505">
        <v>46970</v>
      </c>
      <c r="J12" s="505">
        <v>115514</v>
      </c>
      <c r="K12" s="505">
        <v>59691</v>
      </c>
    </row>
    <row r="13" spans="1:13" ht="12" customHeight="1">
      <c r="A13" s="444"/>
      <c r="B13" s="533"/>
      <c r="C13" s="533" t="s">
        <v>283</v>
      </c>
      <c r="D13" s="533"/>
      <c r="E13" s="624">
        <v>0.13700000000000001</v>
      </c>
      <c r="F13" s="553">
        <v>0.13700000000000001</v>
      </c>
      <c r="G13" s="624">
        <v>0.14299999999999999</v>
      </c>
      <c r="H13" s="553">
        <v>0.14099999999999999</v>
      </c>
      <c r="I13" s="624">
        <v>0.123</v>
      </c>
      <c r="J13" s="553">
        <v>0.13600000000000001</v>
      </c>
      <c r="K13" s="624">
        <v>0.14099999999999999</v>
      </c>
    </row>
    <row r="14" spans="1:13" ht="12" customHeight="1">
      <c r="A14" s="444"/>
      <c r="B14" s="531"/>
      <c r="C14" s="531" t="s">
        <v>276</v>
      </c>
      <c r="D14" s="531"/>
      <c r="E14" s="585">
        <v>7382</v>
      </c>
      <c r="F14" s="517">
        <v>22770</v>
      </c>
      <c r="G14" s="585">
        <v>6586</v>
      </c>
      <c r="H14" s="517">
        <v>22447</v>
      </c>
      <c r="I14" s="585">
        <v>11702</v>
      </c>
      <c r="J14" s="517">
        <v>33966</v>
      </c>
      <c r="K14" s="585">
        <v>20061</v>
      </c>
    </row>
    <row r="15" spans="1:13" ht="12" customHeight="1">
      <c r="A15" s="444"/>
      <c r="B15" s="532"/>
      <c r="C15" s="532"/>
      <c r="D15" s="532" t="s">
        <v>283</v>
      </c>
      <c r="E15" s="534">
        <v>8.5000000000000006E-2</v>
      </c>
      <c r="F15" s="534">
        <v>0.106</v>
      </c>
      <c r="G15" s="534">
        <v>6.0999999999999999E-2</v>
      </c>
      <c r="H15" s="534">
        <v>8.2000000000000003E-2</v>
      </c>
      <c r="I15" s="534">
        <v>7.4999999999999997E-2</v>
      </c>
      <c r="J15" s="534">
        <v>9.2999999999999999E-2</v>
      </c>
      <c r="K15" s="534">
        <v>0.109</v>
      </c>
      <c r="M15" s="625"/>
    </row>
    <row r="16" spans="1:13" ht="12" customHeight="1">
      <c r="A16" s="444"/>
      <c r="B16" s="532"/>
      <c r="C16" s="532" t="s">
        <v>284</v>
      </c>
      <c r="D16" s="532"/>
      <c r="E16" s="585">
        <v>13687</v>
      </c>
      <c r="F16" s="525">
        <v>28378</v>
      </c>
      <c r="G16" s="585">
        <v>23642</v>
      </c>
      <c r="H16" s="525">
        <v>42380</v>
      </c>
      <c r="I16" s="585">
        <v>13536</v>
      </c>
      <c r="J16" s="525">
        <v>29206</v>
      </c>
      <c r="K16" s="585">
        <v>14830</v>
      </c>
      <c r="M16" s="625"/>
    </row>
    <row r="17" spans="1:13" ht="12" customHeight="1">
      <c r="A17" s="444"/>
      <c r="B17" s="532"/>
      <c r="C17" s="532"/>
      <c r="D17" s="532" t="s">
        <v>283</v>
      </c>
      <c r="E17" s="534">
        <v>0.2</v>
      </c>
      <c r="F17" s="534">
        <v>0.187</v>
      </c>
      <c r="G17" s="534">
        <v>0.28599999999999998</v>
      </c>
      <c r="H17" s="534">
        <v>0.26100000000000001</v>
      </c>
      <c r="I17" s="534">
        <v>0.20200000000000001</v>
      </c>
      <c r="J17" s="534">
        <v>0.2</v>
      </c>
      <c r="K17" s="534">
        <v>0.188</v>
      </c>
      <c r="M17" s="625"/>
    </row>
    <row r="18" spans="1:13" ht="12" customHeight="1">
      <c r="A18" s="444"/>
      <c r="B18" s="532"/>
      <c r="C18" s="532" t="s">
        <v>278</v>
      </c>
      <c r="D18" s="532"/>
      <c r="E18" s="525">
        <v>8122</v>
      </c>
      <c r="F18" s="525">
        <v>24797</v>
      </c>
      <c r="G18" s="525">
        <v>14334</v>
      </c>
      <c r="H18" s="525">
        <v>31088</v>
      </c>
      <c r="I18" s="525">
        <v>15481</v>
      </c>
      <c r="J18" s="525">
        <v>36812</v>
      </c>
      <c r="K18" s="525">
        <v>17635</v>
      </c>
      <c r="M18" s="625"/>
    </row>
    <row r="19" spans="1:13" ht="12" customHeight="1">
      <c r="A19" s="444"/>
      <c r="B19" s="532"/>
      <c r="C19" s="532"/>
      <c r="D19" s="532" t="s">
        <v>283</v>
      </c>
      <c r="E19" s="534">
        <v>7.3999999999999996E-2</v>
      </c>
      <c r="F19" s="534">
        <v>0.10199999999999999</v>
      </c>
      <c r="G19" s="534">
        <v>0.12</v>
      </c>
      <c r="H19" s="534">
        <v>0.123</v>
      </c>
      <c r="I19" s="534">
        <v>0.126</v>
      </c>
      <c r="J19" s="534">
        <v>0.14000000000000001</v>
      </c>
      <c r="K19" s="534">
        <v>0.14099999999999999</v>
      </c>
      <c r="M19" s="625"/>
    </row>
    <row r="20" spans="1:13" ht="12" customHeight="1">
      <c r="A20" s="444"/>
      <c r="B20" s="532"/>
      <c r="C20" s="532" t="s">
        <v>279</v>
      </c>
      <c r="D20" s="532"/>
      <c r="E20" s="525">
        <v>3360</v>
      </c>
      <c r="F20" s="525">
        <v>7634</v>
      </c>
      <c r="G20" s="525">
        <v>4008</v>
      </c>
      <c r="H20" s="525">
        <v>8495</v>
      </c>
      <c r="I20" s="525">
        <v>4265</v>
      </c>
      <c r="J20" s="525">
        <v>9094</v>
      </c>
      <c r="K20" s="525">
        <v>4017</v>
      </c>
      <c r="M20" s="625"/>
    </row>
    <row r="21" spans="1:13" ht="12" customHeight="1">
      <c r="A21" s="444"/>
      <c r="B21" s="532"/>
      <c r="C21" s="532"/>
      <c r="D21" s="532" t="s">
        <v>283</v>
      </c>
      <c r="E21" s="534">
        <v>0.20599999999999999</v>
      </c>
      <c r="F21" s="534">
        <v>0.20399999999999999</v>
      </c>
      <c r="G21" s="534">
        <v>0.20699999999999999</v>
      </c>
      <c r="H21" s="534">
        <v>0.214</v>
      </c>
      <c r="I21" s="534">
        <v>0.214</v>
      </c>
      <c r="J21" s="534">
        <v>0.222</v>
      </c>
      <c r="K21" s="534">
        <v>0.23</v>
      </c>
      <c r="M21" s="625"/>
    </row>
    <row r="22" spans="1:13" ht="12" customHeight="1">
      <c r="A22" s="444"/>
      <c r="B22" s="532"/>
      <c r="C22" s="532" t="s">
        <v>285</v>
      </c>
      <c r="D22" s="532"/>
      <c r="E22" s="525">
        <v>8586</v>
      </c>
      <c r="F22" s="525">
        <v>10239</v>
      </c>
      <c r="G22" s="525">
        <v>1127</v>
      </c>
      <c r="H22" s="525">
        <v>3470</v>
      </c>
      <c r="I22" s="525">
        <v>1841</v>
      </c>
      <c r="J22" s="525">
        <v>5791</v>
      </c>
      <c r="K22" s="525">
        <v>2970</v>
      </c>
      <c r="M22" s="625"/>
    </row>
    <row r="23" spans="1:13" ht="12" customHeight="1">
      <c r="A23" s="444"/>
      <c r="B23" s="532"/>
      <c r="C23" s="532"/>
      <c r="D23" s="532" t="s">
        <v>283</v>
      </c>
      <c r="E23" s="534">
        <v>0.58299999999999996</v>
      </c>
      <c r="F23" s="534">
        <v>0.45400000000000001</v>
      </c>
      <c r="G23" s="534">
        <v>0.13600000000000001</v>
      </c>
      <c r="H23" s="534">
        <v>0.189</v>
      </c>
      <c r="I23" s="534">
        <v>0.14099999999999999</v>
      </c>
      <c r="J23" s="534">
        <v>0.188</v>
      </c>
      <c r="K23" s="534">
        <v>0.16700000000000001</v>
      </c>
      <c r="M23" s="625"/>
    </row>
    <row r="24" spans="1:13" ht="12" customHeight="1">
      <c r="A24" s="444"/>
      <c r="B24" s="532"/>
      <c r="C24" s="532" t="s">
        <v>259</v>
      </c>
      <c r="D24" s="532"/>
      <c r="E24" s="525">
        <v>1684</v>
      </c>
      <c r="F24" s="525">
        <v>3920</v>
      </c>
      <c r="G24" s="525">
        <v>1715</v>
      </c>
      <c r="H24" s="525">
        <v>4001</v>
      </c>
      <c r="I24" s="525">
        <v>142</v>
      </c>
      <c r="J24" s="525">
        <v>643</v>
      </c>
      <c r="K24" s="525">
        <v>175</v>
      </c>
      <c r="M24" s="625"/>
    </row>
    <row r="25" spans="1:13" ht="12" customHeight="1">
      <c r="A25" s="444"/>
      <c r="B25" s="533"/>
      <c r="C25" s="533"/>
      <c r="D25" s="533" t="s">
        <v>283</v>
      </c>
      <c r="E25" s="553">
        <v>9.4E-2</v>
      </c>
      <c r="F25" s="553">
        <v>9.5000000000000001E-2</v>
      </c>
      <c r="G25" s="553">
        <v>8.1000000000000003E-2</v>
      </c>
      <c r="H25" s="553">
        <v>8.5000000000000006E-2</v>
      </c>
      <c r="I25" s="553">
        <v>0.115</v>
      </c>
      <c r="J25" s="553">
        <v>0.22600000000000001</v>
      </c>
      <c r="K25" s="553">
        <v>0.14699999999999999</v>
      </c>
      <c r="M25" s="625"/>
    </row>
    <row r="28" spans="1:13" ht="12.6">
      <c r="A28" s="433" t="s">
        <v>236</v>
      </c>
      <c r="C28" s="433" t="s">
        <v>852</v>
      </c>
      <c r="D28" s="430"/>
      <c r="E28" s="430"/>
      <c r="F28" s="430"/>
      <c r="G28" s="430"/>
      <c r="I28" s="433"/>
      <c r="J28" s="430"/>
      <c r="K28" s="433"/>
    </row>
  </sheetData>
  <phoneticPr fontId="2"/>
  <pageMargins left="0.70866141732283472" right="0.70866141732283472" top="0.74803149606299213" bottom="0.74803149606299213" header="0.31496062992125984" footer="0.31496062992125984"/>
  <pageSetup paperSize="9" scale="77" orientation="portrait" r:id="rId1"/>
  <headerFoot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G381"/>
  <sheetViews>
    <sheetView zoomScale="70" zoomScaleNormal="70" zoomScaleSheetLayoutView="66" workbookViewId="0">
      <pane xSplit="1" ySplit="5" topLeftCell="BW6" activePane="bottomRight" state="frozen"/>
      <selection pane="topRight" activeCell="B1" sqref="B1"/>
      <selection pane="bottomLeft" activeCell="A6" sqref="A6"/>
      <selection pane="bottomRight" activeCell="CS7" sqref="CS7"/>
    </sheetView>
  </sheetViews>
  <sheetFormatPr defaultColWidth="9" defaultRowHeight="13.2"/>
  <cols>
    <col min="1" max="1" width="41.109375" style="225" customWidth="1"/>
    <col min="2" max="34" width="9.77734375" style="225" customWidth="1"/>
    <col min="35" max="35" width="41.109375" style="225" customWidth="1"/>
    <col min="36" max="68" width="9.77734375" style="225" customWidth="1"/>
    <col min="69" max="69" width="41.109375" style="225" customWidth="1"/>
    <col min="70" max="110" width="9.77734375" style="225" customWidth="1"/>
    <col min="111" max="137" width="13.44140625" style="225" customWidth="1"/>
    <col min="138" max="138" width="9.77734375" style="225" customWidth="1"/>
    <col min="139" max="193" width="9.33203125" style="225" customWidth="1"/>
    <col min="194" max="16384" width="9" style="225"/>
  </cols>
  <sheetData>
    <row r="1" spans="1:137" ht="23.1" customHeight="1" thickBot="1">
      <c r="A1" s="222" t="s">
        <v>286</v>
      </c>
      <c r="B1" s="223"/>
      <c r="C1" s="224"/>
      <c r="D1" s="224"/>
      <c r="AI1" s="222" t="s">
        <v>286</v>
      </c>
      <c r="AS1" s="225" t="s">
        <v>287</v>
      </c>
      <c r="BQ1" s="222" t="s">
        <v>286</v>
      </c>
      <c r="CQ1" s="226"/>
      <c r="CU1" s="226"/>
      <c r="CW1" s="226"/>
      <c r="CY1" s="226" t="s">
        <v>288</v>
      </c>
    </row>
    <row r="2" spans="1:137" ht="23.1" customHeight="1">
      <c r="A2" s="224"/>
      <c r="B2" s="227" t="s">
        <v>289</v>
      </c>
      <c r="C2" s="227" t="s">
        <v>290</v>
      </c>
      <c r="D2" s="227" t="s">
        <v>291</v>
      </c>
      <c r="E2" s="227" t="s">
        <v>292</v>
      </c>
      <c r="F2" s="227" t="s">
        <v>293</v>
      </c>
      <c r="G2" s="227" t="s">
        <v>294</v>
      </c>
      <c r="H2" s="227" t="s">
        <v>295</v>
      </c>
      <c r="I2" s="227" t="s">
        <v>296</v>
      </c>
      <c r="J2" s="227" t="s">
        <v>297</v>
      </c>
      <c r="K2" s="227" t="s">
        <v>298</v>
      </c>
      <c r="L2" s="227" t="s">
        <v>299</v>
      </c>
      <c r="M2" s="227" t="s">
        <v>300</v>
      </c>
      <c r="N2" s="227" t="s">
        <v>301</v>
      </c>
      <c r="O2" s="227" t="s">
        <v>302</v>
      </c>
      <c r="P2" s="227" t="s">
        <v>303</v>
      </c>
      <c r="Q2" s="227" t="s">
        <v>304</v>
      </c>
      <c r="R2" s="227" t="s">
        <v>305</v>
      </c>
      <c r="S2" s="227" t="s">
        <v>306</v>
      </c>
      <c r="T2" s="227" t="s">
        <v>307</v>
      </c>
      <c r="U2" s="227" t="s">
        <v>308</v>
      </c>
      <c r="V2" s="227" t="s">
        <v>309</v>
      </c>
      <c r="W2" s="227" t="s">
        <v>310</v>
      </c>
      <c r="X2" s="227" t="s">
        <v>311</v>
      </c>
      <c r="Y2" s="227" t="s">
        <v>312</v>
      </c>
      <c r="Z2" s="227" t="s">
        <v>313</v>
      </c>
      <c r="AA2" s="227" t="s">
        <v>314</v>
      </c>
      <c r="AB2" s="227" t="s">
        <v>315</v>
      </c>
      <c r="AC2" s="227" t="s">
        <v>316</v>
      </c>
      <c r="AD2" s="227" t="s">
        <v>317</v>
      </c>
      <c r="AE2" s="227" t="s">
        <v>318</v>
      </c>
      <c r="AF2" s="227" t="s">
        <v>319</v>
      </c>
      <c r="AG2" s="227" t="s">
        <v>320</v>
      </c>
      <c r="AH2" s="227" t="s">
        <v>321</v>
      </c>
      <c r="AI2" s="224"/>
      <c r="AJ2" s="227" t="s">
        <v>322</v>
      </c>
      <c r="AK2" s="227" t="s">
        <v>323</v>
      </c>
      <c r="AL2" s="227" t="s">
        <v>324</v>
      </c>
      <c r="AM2" s="227" t="s">
        <v>325</v>
      </c>
      <c r="AN2" s="227" t="s">
        <v>326</v>
      </c>
      <c r="AO2" s="227" t="s">
        <v>327</v>
      </c>
      <c r="AP2" s="227" t="s">
        <v>328</v>
      </c>
      <c r="AQ2" s="227" t="s">
        <v>329</v>
      </c>
      <c r="AR2" s="227" t="s">
        <v>330</v>
      </c>
      <c r="AS2" s="227" t="s">
        <v>331</v>
      </c>
      <c r="AT2" s="227" t="s">
        <v>332</v>
      </c>
      <c r="AU2" s="227" t="s">
        <v>333</v>
      </c>
      <c r="AV2" s="227" t="s">
        <v>334</v>
      </c>
      <c r="AW2" s="227" t="s">
        <v>335</v>
      </c>
      <c r="AX2" s="227" t="s">
        <v>336</v>
      </c>
      <c r="AY2" s="227" t="s">
        <v>337</v>
      </c>
      <c r="AZ2" s="227" t="s">
        <v>338</v>
      </c>
      <c r="BA2" s="227" t="s">
        <v>339</v>
      </c>
      <c r="BB2" s="227" t="s">
        <v>340</v>
      </c>
      <c r="BC2" s="227" t="s">
        <v>341</v>
      </c>
      <c r="BD2" s="227" t="s">
        <v>342</v>
      </c>
      <c r="BE2" s="633" t="s">
        <v>343</v>
      </c>
      <c r="BF2" s="633"/>
      <c r="BG2" s="633" t="s">
        <v>344</v>
      </c>
      <c r="BH2" s="633"/>
      <c r="BI2" s="633" t="s">
        <v>345</v>
      </c>
      <c r="BJ2" s="633"/>
      <c r="BK2" s="633" t="s">
        <v>346</v>
      </c>
      <c r="BL2" s="633"/>
      <c r="BM2" s="633" t="s">
        <v>347</v>
      </c>
      <c r="BN2" s="633"/>
      <c r="BO2" s="633" t="s">
        <v>348</v>
      </c>
      <c r="BP2" s="633"/>
      <c r="BQ2" s="224"/>
      <c r="BR2" s="633" t="s">
        <v>349</v>
      </c>
      <c r="BS2" s="633"/>
      <c r="BT2" s="633" t="s">
        <v>350</v>
      </c>
      <c r="BU2" s="633"/>
      <c r="BV2" s="633" t="s">
        <v>351</v>
      </c>
      <c r="BW2" s="633"/>
      <c r="BX2" s="633" t="s">
        <v>352</v>
      </c>
      <c r="BY2" s="633"/>
      <c r="BZ2" s="633" t="s">
        <v>353</v>
      </c>
      <c r="CA2" s="633"/>
      <c r="CB2" s="633" t="s">
        <v>354</v>
      </c>
      <c r="CC2" s="633"/>
      <c r="CD2" s="633" t="s">
        <v>355</v>
      </c>
      <c r="CE2" s="633"/>
      <c r="CF2" s="633" t="s">
        <v>356</v>
      </c>
      <c r="CG2" s="633"/>
      <c r="CH2" s="633" t="s">
        <v>357</v>
      </c>
      <c r="CI2" s="633"/>
      <c r="CJ2" s="633" t="s">
        <v>358</v>
      </c>
      <c r="CK2" s="633"/>
      <c r="CL2" s="633" t="s">
        <v>359</v>
      </c>
      <c r="CM2" s="633"/>
      <c r="CN2" s="633" t="s">
        <v>360</v>
      </c>
      <c r="CO2" s="633"/>
      <c r="CP2" s="639" t="s">
        <v>361</v>
      </c>
      <c r="CQ2" s="639"/>
      <c r="CR2" s="639" t="s">
        <v>362</v>
      </c>
      <c r="CS2" s="639"/>
      <c r="CT2" s="639" t="s">
        <v>363</v>
      </c>
      <c r="CU2" s="639"/>
      <c r="CV2" s="639" t="s">
        <v>364</v>
      </c>
      <c r="CW2" s="639"/>
      <c r="CX2" s="639" t="s">
        <v>365</v>
      </c>
      <c r="CY2" s="639"/>
    </row>
    <row r="3" spans="1:137" ht="23.1" customHeight="1" thickBot="1">
      <c r="A3" s="228"/>
      <c r="B3" s="227" t="s">
        <v>366</v>
      </c>
      <c r="C3" s="227" t="s">
        <v>367</v>
      </c>
      <c r="D3" s="227" t="s">
        <v>368</v>
      </c>
      <c r="E3" s="227" t="s">
        <v>369</v>
      </c>
      <c r="F3" s="227" t="s">
        <v>370</v>
      </c>
      <c r="G3" s="227" t="s">
        <v>371</v>
      </c>
      <c r="H3" s="227" t="s">
        <v>372</v>
      </c>
      <c r="I3" s="227" t="s">
        <v>373</v>
      </c>
      <c r="J3" s="227" t="s">
        <v>374</v>
      </c>
      <c r="K3" s="227" t="s">
        <v>375</v>
      </c>
      <c r="L3" s="227" t="s">
        <v>376</v>
      </c>
      <c r="M3" s="227" t="s">
        <v>377</v>
      </c>
      <c r="N3" s="227" t="s">
        <v>378</v>
      </c>
      <c r="O3" s="227" t="s">
        <v>379</v>
      </c>
      <c r="P3" s="227" t="s">
        <v>380</v>
      </c>
      <c r="Q3" s="227" t="s">
        <v>381</v>
      </c>
      <c r="R3" s="227" t="s">
        <v>382</v>
      </c>
      <c r="S3" s="227" t="s">
        <v>383</v>
      </c>
      <c r="T3" s="227" t="s">
        <v>384</v>
      </c>
      <c r="U3" s="227" t="s">
        <v>385</v>
      </c>
      <c r="V3" s="227" t="s">
        <v>386</v>
      </c>
      <c r="W3" s="227" t="s">
        <v>387</v>
      </c>
      <c r="X3" s="227" t="s">
        <v>388</v>
      </c>
      <c r="Y3" s="227" t="s">
        <v>389</v>
      </c>
      <c r="Z3" s="227" t="s">
        <v>390</v>
      </c>
      <c r="AA3" s="227" t="s">
        <v>391</v>
      </c>
      <c r="AB3" s="227" t="s">
        <v>392</v>
      </c>
      <c r="AC3" s="227" t="s">
        <v>393</v>
      </c>
      <c r="AD3" s="227" t="s">
        <v>394</v>
      </c>
      <c r="AE3" s="227" t="s">
        <v>395</v>
      </c>
      <c r="AF3" s="227" t="s">
        <v>396</v>
      </c>
      <c r="AG3" s="227" t="s">
        <v>397</v>
      </c>
      <c r="AH3" s="227" t="s">
        <v>398</v>
      </c>
      <c r="AI3" s="228"/>
      <c r="AJ3" s="227" t="s">
        <v>399</v>
      </c>
      <c r="AK3" s="227" t="s">
        <v>400</v>
      </c>
      <c r="AL3" s="227" t="s">
        <v>401</v>
      </c>
      <c r="AM3" s="227" t="s">
        <v>402</v>
      </c>
      <c r="AN3" s="227" t="s">
        <v>403</v>
      </c>
      <c r="AO3" s="227" t="s">
        <v>404</v>
      </c>
      <c r="AP3" s="227" t="s">
        <v>405</v>
      </c>
      <c r="AQ3" s="227" t="s">
        <v>406</v>
      </c>
      <c r="AR3" s="227" t="s">
        <v>407</v>
      </c>
      <c r="AS3" s="227" t="s">
        <v>408</v>
      </c>
      <c r="AT3" s="227" t="s">
        <v>409</v>
      </c>
      <c r="AU3" s="227" t="s">
        <v>410</v>
      </c>
      <c r="AV3" s="227" t="s">
        <v>411</v>
      </c>
      <c r="AW3" s="227" t="s">
        <v>412</v>
      </c>
      <c r="AX3" s="227" t="s">
        <v>413</v>
      </c>
      <c r="AY3" s="227" t="s">
        <v>414</v>
      </c>
      <c r="AZ3" s="227" t="s">
        <v>415</v>
      </c>
      <c r="BA3" s="227" t="s">
        <v>416</v>
      </c>
      <c r="BB3" s="227" t="s">
        <v>417</v>
      </c>
      <c r="BC3" s="227" t="s">
        <v>418</v>
      </c>
      <c r="BD3" s="227" t="s">
        <v>419</v>
      </c>
      <c r="BE3" s="630" t="s">
        <v>420</v>
      </c>
      <c r="BF3" s="630"/>
      <c r="BG3" s="630" t="s">
        <v>421</v>
      </c>
      <c r="BH3" s="630"/>
      <c r="BI3" s="630" t="s">
        <v>422</v>
      </c>
      <c r="BJ3" s="630"/>
      <c r="BK3" s="630" t="s">
        <v>423</v>
      </c>
      <c r="BL3" s="630"/>
      <c r="BM3" s="630" t="s">
        <v>424</v>
      </c>
      <c r="BN3" s="630"/>
      <c r="BO3" s="630" t="s">
        <v>425</v>
      </c>
      <c r="BP3" s="630"/>
      <c r="BQ3" s="228"/>
      <c r="BR3" s="630" t="s">
        <v>426</v>
      </c>
      <c r="BS3" s="630"/>
      <c r="BT3" s="630" t="s">
        <v>427</v>
      </c>
      <c r="BU3" s="630"/>
      <c r="BV3" s="630" t="s">
        <v>428</v>
      </c>
      <c r="BW3" s="630"/>
      <c r="BX3" s="630" t="s">
        <v>429</v>
      </c>
      <c r="BY3" s="630"/>
      <c r="BZ3" s="630" t="s">
        <v>430</v>
      </c>
      <c r="CA3" s="630"/>
      <c r="CB3" s="630" t="s">
        <v>431</v>
      </c>
      <c r="CC3" s="630"/>
      <c r="CD3" s="630" t="s">
        <v>432</v>
      </c>
      <c r="CE3" s="630"/>
      <c r="CF3" s="630" t="s">
        <v>433</v>
      </c>
      <c r="CG3" s="630"/>
      <c r="CH3" s="630" t="s">
        <v>434</v>
      </c>
      <c r="CI3" s="630"/>
      <c r="CJ3" s="630" t="s">
        <v>435</v>
      </c>
      <c r="CK3" s="630"/>
      <c r="CL3" s="630" t="s">
        <v>436</v>
      </c>
      <c r="CM3" s="630"/>
      <c r="CN3" s="630" t="s">
        <v>437</v>
      </c>
      <c r="CO3" s="630"/>
      <c r="CP3" s="640" t="s">
        <v>438</v>
      </c>
      <c r="CQ3" s="640"/>
      <c r="CR3" s="640" t="s">
        <v>439</v>
      </c>
      <c r="CS3" s="640"/>
      <c r="CT3" s="640" t="s">
        <v>440</v>
      </c>
      <c r="CU3" s="640"/>
      <c r="CV3" s="640" t="s">
        <v>441</v>
      </c>
      <c r="CW3" s="640"/>
      <c r="CX3" s="640" t="s">
        <v>442</v>
      </c>
      <c r="CY3" s="640"/>
    </row>
    <row r="4" spans="1:137" s="227" customFormat="1" ht="23.1" customHeight="1">
      <c r="A4" s="229"/>
      <c r="B4" s="230" t="s">
        <v>443</v>
      </c>
      <c r="C4" s="231" t="s">
        <v>444</v>
      </c>
      <c r="D4" s="231" t="s">
        <v>445</v>
      </c>
      <c r="E4" s="231" t="s">
        <v>446</v>
      </c>
      <c r="F4" s="231" t="s">
        <v>447</v>
      </c>
      <c r="G4" s="231" t="s">
        <v>448</v>
      </c>
      <c r="H4" s="231" t="s">
        <v>449</v>
      </c>
      <c r="I4" s="231" t="s">
        <v>450</v>
      </c>
      <c r="J4" s="231" t="s">
        <v>451</v>
      </c>
      <c r="K4" s="231" t="s">
        <v>452</v>
      </c>
      <c r="L4" s="231" t="s">
        <v>453</v>
      </c>
      <c r="M4" s="231" t="s">
        <v>454</v>
      </c>
      <c r="N4" s="231" t="s">
        <v>455</v>
      </c>
      <c r="O4" s="231" t="s">
        <v>456</v>
      </c>
      <c r="P4" s="231" t="s">
        <v>457</v>
      </c>
      <c r="Q4" s="231" t="s">
        <v>458</v>
      </c>
      <c r="R4" s="231" t="s">
        <v>459</v>
      </c>
      <c r="S4" s="231" t="s">
        <v>460</v>
      </c>
      <c r="T4" s="231" t="s">
        <v>461</v>
      </c>
      <c r="U4" s="231" t="s">
        <v>462</v>
      </c>
      <c r="V4" s="231" t="s">
        <v>463</v>
      </c>
      <c r="W4" s="231" t="s">
        <v>464</v>
      </c>
      <c r="X4" s="231" t="s">
        <v>465</v>
      </c>
      <c r="Y4" s="231" t="s">
        <v>466</v>
      </c>
      <c r="Z4" s="231" t="s">
        <v>467</v>
      </c>
      <c r="AA4" s="231" t="s">
        <v>468</v>
      </c>
      <c r="AB4" s="232" t="s">
        <v>469</v>
      </c>
      <c r="AC4" s="232" t="s">
        <v>470</v>
      </c>
      <c r="AD4" s="232" t="s">
        <v>471</v>
      </c>
      <c r="AE4" s="231" t="s">
        <v>472</v>
      </c>
      <c r="AF4" s="231" t="s">
        <v>473</v>
      </c>
      <c r="AG4" s="231" t="s">
        <v>474</v>
      </c>
      <c r="AH4" s="233" t="s">
        <v>475</v>
      </c>
      <c r="AI4" s="229"/>
      <c r="AJ4" s="234" t="s">
        <v>476</v>
      </c>
      <c r="AK4" s="232" t="s">
        <v>477</v>
      </c>
      <c r="AL4" s="231" t="s">
        <v>478</v>
      </c>
      <c r="AM4" s="231" t="s">
        <v>479</v>
      </c>
      <c r="AN4" s="231" t="s">
        <v>480</v>
      </c>
      <c r="AO4" s="231" t="s">
        <v>481</v>
      </c>
      <c r="AP4" s="231" t="s">
        <v>482</v>
      </c>
      <c r="AQ4" s="231" t="s">
        <v>483</v>
      </c>
      <c r="AR4" s="231" t="s">
        <v>484</v>
      </c>
      <c r="AS4" s="231" t="s">
        <v>485</v>
      </c>
      <c r="AT4" s="231" t="s">
        <v>486</v>
      </c>
      <c r="AU4" s="231" t="s">
        <v>487</v>
      </c>
      <c r="AV4" s="231" t="s">
        <v>488</v>
      </c>
      <c r="AW4" s="231" t="s">
        <v>489</v>
      </c>
      <c r="AX4" s="231" t="s">
        <v>490</v>
      </c>
      <c r="AY4" s="231" t="s">
        <v>491</v>
      </c>
      <c r="AZ4" s="231" t="s">
        <v>492</v>
      </c>
      <c r="BA4" s="235" t="s">
        <v>493</v>
      </c>
      <c r="BB4" s="235" t="s">
        <v>494</v>
      </c>
      <c r="BC4" s="235" t="s">
        <v>495</v>
      </c>
      <c r="BD4" s="235" t="s">
        <v>496</v>
      </c>
      <c r="BE4" s="631" t="s">
        <v>497</v>
      </c>
      <c r="BF4" s="632"/>
      <c r="BG4" s="631" t="s">
        <v>498</v>
      </c>
      <c r="BH4" s="632"/>
      <c r="BI4" s="631" t="s">
        <v>499</v>
      </c>
      <c r="BJ4" s="632"/>
      <c r="BK4" s="631" t="s">
        <v>500</v>
      </c>
      <c r="BL4" s="632"/>
      <c r="BM4" s="631" t="s">
        <v>501</v>
      </c>
      <c r="BN4" s="632"/>
      <c r="BO4" s="634" t="s">
        <v>502</v>
      </c>
      <c r="BP4" s="635"/>
      <c r="BQ4" s="229"/>
      <c r="BR4" s="636" t="s">
        <v>503</v>
      </c>
      <c r="BS4" s="632"/>
      <c r="BT4" s="631" t="s">
        <v>504</v>
      </c>
      <c r="BU4" s="632"/>
      <c r="BV4" s="631" t="s">
        <v>505</v>
      </c>
      <c r="BW4" s="632"/>
      <c r="BX4" s="634" t="s">
        <v>506</v>
      </c>
      <c r="BY4" s="634"/>
      <c r="BZ4" s="631" t="s">
        <v>507</v>
      </c>
      <c r="CA4" s="632"/>
      <c r="CB4" s="634" t="s">
        <v>508</v>
      </c>
      <c r="CC4" s="634"/>
      <c r="CD4" s="631" t="s">
        <v>509</v>
      </c>
      <c r="CE4" s="632"/>
      <c r="CF4" s="634" t="s">
        <v>510</v>
      </c>
      <c r="CG4" s="632"/>
      <c r="CH4" s="634" t="s">
        <v>511</v>
      </c>
      <c r="CI4" s="632"/>
      <c r="CJ4" s="631" t="s">
        <v>512</v>
      </c>
      <c r="CK4" s="632"/>
      <c r="CL4" s="631" t="s">
        <v>513</v>
      </c>
      <c r="CM4" s="632"/>
      <c r="CN4" s="631" t="s">
        <v>514</v>
      </c>
      <c r="CO4" s="632"/>
      <c r="CP4" s="631" t="s">
        <v>515</v>
      </c>
      <c r="CQ4" s="634"/>
      <c r="CR4" s="631" t="s">
        <v>516</v>
      </c>
      <c r="CS4" s="634"/>
      <c r="CT4" s="631" t="s">
        <v>517</v>
      </c>
      <c r="CU4" s="634"/>
      <c r="CV4" s="631" t="s">
        <v>518</v>
      </c>
      <c r="CW4" s="634"/>
      <c r="CX4" s="631" t="s">
        <v>519</v>
      </c>
      <c r="CY4" s="635"/>
    </row>
    <row r="5" spans="1:137" s="227" customFormat="1" ht="23.1" customHeight="1" thickBot="1">
      <c r="A5" s="236"/>
      <c r="B5" s="237" t="s">
        <v>520</v>
      </c>
      <c r="C5" s="238" t="s">
        <v>520</v>
      </c>
      <c r="D5" s="238" t="s">
        <v>520</v>
      </c>
      <c r="E5" s="238" t="s">
        <v>520</v>
      </c>
      <c r="F5" s="238" t="s">
        <v>520</v>
      </c>
      <c r="G5" s="238" t="s">
        <v>520</v>
      </c>
      <c r="H5" s="238" t="s">
        <v>520</v>
      </c>
      <c r="I5" s="238" t="s">
        <v>520</v>
      </c>
      <c r="J5" s="238" t="s">
        <v>520</v>
      </c>
      <c r="K5" s="238" t="s">
        <v>520</v>
      </c>
      <c r="L5" s="238" t="s">
        <v>520</v>
      </c>
      <c r="M5" s="238" t="s">
        <v>520</v>
      </c>
      <c r="N5" s="238" t="s">
        <v>520</v>
      </c>
      <c r="O5" s="238" t="s">
        <v>520</v>
      </c>
      <c r="P5" s="238" t="s">
        <v>520</v>
      </c>
      <c r="Q5" s="238" t="s">
        <v>520</v>
      </c>
      <c r="R5" s="238" t="s">
        <v>520</v>
      </c>
      <c r="S5" s="238" t="s">
        <v>520</v>
      </c>
      <c r="T5" s="238" t="s">
        <v>520</v>
      </c>
      <c r="U5" s="238" t="s">
        <v>520</v>
      </c>
      <c r="V5" s="238" t="s">
        <v>520</v>
      </c>
      <c r="W5" s="238" t="s">
        <v>520</v>
      </c>
      <c r="X5" s="238" t="s">
        <v>520</v>
      </c>
      <c r="Y5" s="238" t="s">
        <v>520</v>
      </c>
      <c r="Z5" s="238" t="s">
        <v>520</v>
      </c>
      <c r="AA5" s="238" t="s">
        <v>520</v>
      </c>
      <c r="AB5" s="238" t="s">
        <v>520</v>
      </c>
      <c r="AC5" s="238" t="s">
        <v>520</v>
      </c>
      <c r="AD5" s="238" t="s">
        <v>520</v>
      </c>
      <c r="AE5" s="238" t="s">
        <v>520</v>
      </c>
      <c r="AF5" s="238" t="s">
        <v>520</v>
      </c>
      <c r="AG5" s="238" t="s">
        <v>520</v>
      </c>
      <c r="AH5" s="239" t="s">
        <v>520</v>
      </c>
      <c r="AI5" s="236"/>
      <c r="AJ5" s="240" t="s">
        <v>520</v>
      </c>
      <c r="AK5" s="238" t="s">
        <v>520</v>
      </c>
      <c r="AL5" s="238" t="s">
        <v>520</v>
      </c>
      <c r="AM5" s="238" t="s">
        <v>520</v>
      </c>
      <c r="AN5" s="238" t="s">
        <v>520</v>
      </c>
      <c r="AO5" s="238" t="s">
        <v>520</v>
      </c>
      <c r="AP5" s="238" t="s">
        <v>520</v>
      </c>
      <c r="AQ5" s="238" t="s">
        <v>520</v>
      </c>
      <c r="AR5" s="238" t="s">
        <v>520</v>
      </c>
      <c r="AS5" s="238" t="s">
        <v>520</v>
      </c>
      <c r="AT5" s="238" t="s">
        <v>520</v>
      </c>
      <c r="AU5" s="238" t="s">
        <v>520</v>
      </c>
      <c r="AV5" s="238" t="s">
        <v>520</v>
      </c>
      <c r="AW5" s="238" t="s">
        <v>520</v>
      </c>
      <c r="AX5" s="238" t="s">
        <v>520</v>
      </c>
      <c r="AY5" s="238" t="s">
        <v>520</v>
      </c>
      <c r="AZ5" s="238" t="s">
        <v>520</v>
      </c>
      <c r="BA5" s="238" t="s">
        <v>520</v>
      </c>
      <c r="BB5" s="238" t="s">
        <v>520</v>
      </c>
      <c r="BC5" s="238" t="s">
        <v>520</v>
      </c>
      <c r="BD5" s="238" t="s">
        <v>520</v>
      </c>
      <c r="BE5" s="241" t="s">
        <v>520</v>
      </c>
      <c r="BF5" s="238" t="s">
        <v>521</v>
      </c>
      <c r="BG5" s="241" t="s">
        <v>520</v>
      </c>
      <c r="BH5" s="238" t="s">
        <v>521</v>
      </c>
      <c r="BI5" s="241" t="s">
        <v>520</v>
      </c>
      <c r="BJ5" s="238" t="s">
        <v>521</v>
      </c>
      <c r="BK5" s="241" t="s">
        <v>520</v>
      </c>
      <c r="BL5" s="238" t="s">
        <v>521</v>
      </c>
      <c r="BM5" s="241" t="s">
        <v>520</v>
      </c>
      <c r="BN5" s="238" t="s">
        <v>521</v>
      </c>
      <c r="BO5" s="242" t="s">
        <v>520</v>
      </c>
      <c r="BP5" s="239" t="s">
        <v>521</v>
      </c>
      <c r="BQ5" s="236"/>
      <c r="BR5" s="243" t="s">
        <v>520</v>
      </c>
      <c r="BS5" s="238" t="s">
        <v>521</v>
      </c>
      <c r="BT5" s="241" t="s">
        <v>520</v>
      </c>
      <c r="BU5" s="238" t="s">
        <v>521</v>
      </c>
      <c r="BV5" s="241" t="s">
        <v>520</v>
      </c>
      <c r="BW5" s="238" t="s">
        <v>521</v>
      </c>
      <c r="BX5" s="242" t="s">
        <v>520</v>
      </c>
      <c r="BY5" s="238" t="s">
        <v>521</v>
      </c>
      <c r="BZ5" s="241" t="s">
        <v>520</v>
      </c>
      <c r="CA5" s="238" t="s">
        <v>521</v>
      </c>
      <c r="CB5" s="242" t="s">
        <v>520</v>
      </c>
      <c r="CC5" s="238" t="s">
        <v>521</v>
      </c>
      <c r="CD5" s="241" t="s">
        <v>520</v>
      </c>
      <c r="CE5" s="238" t="s">
        <v>521</v>
      </c>
      <c r="CF5" s="242" t="s">
        <v>520</v>
      </c>
      <c r="CG5" s="238" t="s">
        <v>521</v>
      </c>
      <c r="CH5" s="242" t="s">
        <v>520</v>
      </c>
      <c r="CI5" s="238" t="s">
        <v>521</v>
      </c>
      <c r="CJ5" s="241" t="s">
        <v>520</v>
      </c>
      <c r="CK5" s="238" t="s">
        <v>521</v>
      </c>
      <c r="CL5" s="241" t="s">
        <v>520</v>
      </c>
      <c r="CM5" s="238" t="s">
        <v>521</v>
      </c>
      <c r="CN5" s="241" t="s">
        <v>520</v>
      </c>
      <c r="CO5" s="238" t="s">
        <v>521</v>
      </c>
      <c r="CP5" s="241" t="s">
        <v>520</v>
      </c>
      <c r="CQ5" s="241" t="s">
        <v>521</v>
      </c>
      <c r="CR5" s="241" t="s">
        <v>520</v>
      </c>
      <c r="CS5" s="241" t="s">
        <v>521</v>
      </c>
      <c r="CT5" s="241" t="s">
        <v>520</v>
      </c>
      <c r="CU5" s="241" t="s">
        <v>521</v>
      </c>
      <c r="CV5" s="241" t="s">
        <v>520</v>
      </c>
      <c r="CW5" s="241" t="s">
        <v>521</v>
      </c>
      <c r="CX5" s="241" t="s">
        <v>520</v>
      </c>
      <c r="CY5" s="239" t="s">
        <v>521</v>
      </c>
      <c r="DD5" s="244" t="s">
        <v>522</v>
      </c>
      <c r="DE5" s="245"/>
      <c r="DF5" s="245"/>
      <c r="DG5" s="245"/>
      <c r="DH5" s="245"/>
      <c r="DI5" s="245"/>
      <c r="DJ5" s="245"/>
      <c r="DK5" s="245"/>
      <c r="DL5" s="245"/>
      <c r="DM5" s="245"/>
      <c r="DN5" s="245"/>
      <c r="DO5" s="245"/>
      <c r="DP5" s="245"/>
      <c r="DQ5" s="245"/>
    </row>
    <row r="6" spans="1:137" s="227" customFormat="1" ht="23.1" customHeight="1">
      <c r="A6" s="246" t="s">
        <v>523</v>
      </c>
      <c r="B6" s="247"/>
      <c r="C6" s="248"/>
      <c r="D6" s="248"/>
      <c r="E6" s="248"/>
      <c r="F6" s="248"/>
      <c r="G6" s="248"/>
      <c r="H6" s="248">
        <v>2282</v>
      </c>
      <c r="I6" s="248">
        <v>2890</v>
      </c>
      <c r="J6" s="248">
        <v>2983</v>
      </c>
      <c r="K6" s="248">
        <v>8957</v>
      </c>
      <c r="L6" s="248">
        <v>7346</v>
      </c>
      <c r="M6" s="248">
        <v>4419</v>
      </c>
      <c r="N6" s="248">
        <v>4851.8329999999996</v>
      </c>
      <c r="O6" s="248">
        <v>7735</v>
      </c>
      <c r="P6" s="248">
        <v>11098.870999999999</v>
      </c>
      <c r="Q6" s="248">
        <v>16238.646000000001</v>
      </c>
      <c r="R6" s="248">
        <v>20655.123</v>
      </c>
      <c r="S6" s="248">
        <v>26225.469000000001</v>
      </c>
      <c r="T6" s="248">
        <v>29041.981</v>
      </c>
      <c r="U6" s="248">
        <v>34004.338000000003</v>
      </c>
      <c r="V6" s="248">
        <v>42656.794999999998</v>
      </c>
      <c r="W6" s="248">
        <v>46613.436000000002</v>
      </c>
      <c r="X6" s="248">
        <v>53720.567999999999</v>
      </c>
      <c r="Y6" s="248">
        <v>73105.691999999995</v>
      </c>
      <c r="Z6" s="248">
        <v>85355.323999999993</v>
      </c>
      <c r="AA6" s="248">
        <v>110398.48299999999</v>
      </c>
      <c r="AB6" s="248">
        <v>135171.484</v>
      </c>
      <c r="AC6" s="248">
        <v>152738.60999999999</v>
      </c>
      <c r="AD6" s="248">
        <v>161564.84</v>
      </c>
      <c r="AE6" s="248">
        <v>164327.71100000001</v>
      </c>
      <c r="AF6" s="248">
        <v>160621.32699999999</v>
      </c>
      <c r="AG6" s="248">
        <v>210113.75599999999</v>
      </c>
      <c r="AH6" s="249">
        <v>240296.56700000001</v>
      </c>
      <c r="AI6" s="246" t="s">
        <v>523</v>
      </c>
      <c r="AJ6" s="250">
        <v>251776.03599999999</v>
      </c>
      <c r="AK6" s="209">
        <v>318409.52299999999</v>
      </c>
      <c r="AL6" s="209">
        <v>324159.23200000002</v>
      </c>
      <c r="AM6" s="209">
        <v>310000</v>
      </c>
      <c r="AN6" s="209">
        <v>310800</v>
      </c>
      <c r="AO6" s="209">
        <v>315100</v>
      </c>
      <c r="AP6" s="209">
        <v>369000</v>
      </c>
      <c r="AQ6" s="209">
        <v>353300</v>
      </c>
      <c r="AR6" s="209">
        <v>356065</v>
      </c>
      <c r="AS6" s="209">
        <v>112039</v>
      </c>
      <c r="AT6" s="209">
        <v>421673</v>
      </c>
      <c r="AU6" s="209">
        <v>520755</v>
      </c>
      <c r="AV6" s="209">
        <v>608643</v>
      </c>
      <c r="AW6" s="209">
        <v>580617</v>
      </c>
      <c r="AX6" s="209">
        <v>554955</v>
      </c>
      <c r="AY6" s="209">
        <v>501055</v>
      </c>
      <c r="AZ6" s="209">
        <v>483811</v>
      </c>
      <c r="BA6" s="209">
        <v>470479</v>
      </c>
      <c r="BB6" s="209">
        <v>493928</v>
      </c>
      <c r="BC6" s="209">
        <v>453144</v>
      </c>
      <c r="BD6" s="209">
        <v>422018</v>
      </c>
      <c r="BE6" s="209">
        <v>413096</v>
      </c>
      <c r="BF6" s="209"/>
      <c r="BG6" s="209">
        <v>413321</v>
      </c>
      <c r="BH6" s="209"/>
      <c r="BI6" s="209">
        <v>364146</v>
      </c>
      <c r="BJ6" s="209"/>
      <c r="BK6" s="209">
        <v>395198</v>
      </c>
      <c r="BL6" s="209"/>
      <c r="BM6" s="209">
        <v>378521</v>
      </c>
      <c r="BN6" s="209"/>
      <c r="BO6" s="209">
        <v>389552</v>
      </c>
      <c r="BP6" s="251"/>
      <c r="BQ6" s="246" t="s">
        <v>523</v>
      </c>
      <c r="BR6" s="247">
        <v>381808</v>
      </c>
      <c r="BS6" s="248"/>
      <c r="BT6" s="248">
        <v>370389</v>
      </c>
      <c r="BU6" s="248"/>
      <c r="BV6" s="248">
        <v>313395</v>
      </c>
      <c r="BW6" s="248"/>
      <c r="BX6" s="248">
        <v>255613</v>
      </c>
      <c r="BY6" s="248"/>
      <c r="BZ6" s="248">
        <v>273281</v>
      </c>
      <c r="CA6" s="248"/>
      <c r="CB6" s="248">
        <v>306863</v>
      </c>
      <c r="CC6" s="248"/>
      <c r="CD6" s="248">
        <v>293340</v>
      </c>
      <c r="CE6" s="248"/>
      <c r="CF6" s="248">
        <v>309670</v>
      </c>
      <c r="CG6" s="248"/>
      <c r="CH6" s="248">
        <v>320826</v>
      </c>
      <c r="CI6" s="248"/>
      <c r="CJ6" s="248">
        <v>370212</v>
      </c>
      <c r="CK6" s="248"/>
      <c r="CL6" s="248">
        <v>388896</v>
      </c>
      <c r="CM6" s="248"/>
      <c r="CN6" s="248">
        <v>450196</v>
      </c>
      <c r="CO6" s="248"/>
      <c r="CP6" s="248">
        <v>373830</v>
      </c>
      <c r="CQ6" s="252"/>
      <c r="CR6" s="248">
        <v>428091</v>
      </c>
      <c r="CS6" s="252"/>
      <c r="CT6" s="248">
        <v>408546</v>
      </c>
      <c r="CU6" s="252"/>
      <c r="CV6" s="394">
        <v>411869</v>
      </c>
      <c r="CW6" s="252"/>
      <c r="CX6" s="394">
        <v>426882</v>
      </c>
      <c r="CY6" s="249"/>
      <c r="DD6" s="244" t="s">
        <v>523</v>
      </c>
      <c r="DE6" s="245"/>
      <c r="DF6" s="245"/>
      <c r="DG6" s="642" t="s">
        <v>520</v>
      </c>
      <c r="DH6" s="253" t="s">
        <v>488</v>
      </c>
      <c r="DI6" s="254" t="s">
        <v>489</v>
      </c>
      <c r="DJ6" s="254" t="s">
        <v>490</v>
      </c>
      <c r="DK6" s="254" t="s">
        <v>487</v>
      </c>
      <c r="DL6" s="254" t="s">
        <v>491</v>
      </c>
      <c r="DM6" s="254" t="s">
        <v>494</v>
      </c>
      <c r="DN6" s="254" t="s">
        <v>492</v>
      </c>
      <c r="DO6" s="254" t="s">
        <v>493</v>
      </c>
      <c r="DP6" s="254" t="s">
        <v>495</v>
      </c>
      <c r="DQ6" s="255" t="s">
        <v>516</v>
      </c>
      <c r="DS6" s="244" t="s">
        <v>524</v>
      </c>
      <c r="DT6" s="245"/>
      <c r="DU6" s="245"/>
      <c r="DV6" s="644" t="s">
        <v>520</v>
      </c>
      <c r="DW6" s="417" t="s">
        <v>518</v>
      </c>
      <c r="DX6" s="402" t="s">
        <v>519</v>
      </c>
      <c r="DY6" s="254" t="s">
        <v>517</v>
      </c>
      <c r="DZ6" s="254" t="s">
        <v>516</v>
      </c>
      <c r="EA6" s="254" t="s">
        <v>515</v>
      </c>
      <c r="EB6" s="254" t="s">
        <v>514</v>
      </c>
      <c r="EC6" s="254" t="s">
        <v>513</v>
      </c>
      <c r="ED6" s="254" t="s">
        <v>481</v>
      </c>
      <c r="EE6" s="254" t="s">
        <v>482</v>
      </c>
      <c r="EF6" s="254" t="s">
        <v>480</v>
      </c>
      <c r="EG6" s="255" t="s">
        <v>479</v>
      </c>
    </row>
    <row r="7" spans="1:137" ht="23.1" customHeight="1" thickBot="1">
      <c r="A7" s="256" t="s">
        <v>525</v>
      </c>
      <c r="B7" s="257" t="s">
        <v>206</v>
      </c>
      <c r="C7" s="258">
        <f>27.40009804+6.6785453+0.0037129</f>
        <v>34.082356239999996</v>
      </c>
      <c r="D7" s="258">
        <v>8.7076927499999996</v>
      </c>
      <c r="E7" s="258">
        <v>348.31378799999999</v>
      </c>
      <c r="F7" s="258">
        <v>283.53672699999998</v>
      </c>
      <c r="G7" s="258">
        <v>293.41002023999999</v>
      </c>
      <c r="H7" s="258">
        <v>888.04782699999998</v>
      </c>
      <c r="I7" s="258">
        <v>1299.9619720000001</v>
      </c>
      <c r="J7" s="258">
        <v>3131.9644020000001</v>
      </c>
      <c r="K7" s="258">
        <v>2455.8186940000001</v>
      </c>
      <c r="L7" s="258">
        <v>3357.3105369999998</v>
      </c>
      <c r="M7" s="258">
        <v>3315.8070109999999</v>
      </c>
      <c r="N7" s="258">
        <v>4473.571261</v>
      </c>
      <c r="O7" s="258">
        <v>8280.7010520000003</v>
      </c>
      <c r="P7" s="258">
        <v>9015.3141169999999</v>
      </c>
      <c r="Q7" s="258">
        <v>11137.345202</v>
      </c>
      <c r="R7" s="258">
        <v>15390.915192</v>
      </c>
      <c r="S7" s="258">
        <v>18903.252972999999</v>
      </c>
      <c r="T7" s="258">
        <v>23401.988689000002</v>
      </c>
      <c r="U7" s="258">
        <v>27102.687911000001</v>
      </c>
      <c r="V7" s="258">
        <v>30616.809553999999</v>
      </c>
      <c r="W7" s="258">
        <v>35691.764446000001</v>
      </c>
      <c r="X7" s="258">
        <v>44716.702899000004</v>
      </c>
      <c r="Y7" s="258">
        <v>54867.632801</v>
      </c>
      <c r="Z7" s="258">
        <v>68775.030433000007</v>
      </c>
      <c r="AA7" s="258">
        <v>80745.282720999996</v>
      </c>
      <c r="AB7" s="259">
        <v>90230.466694000002</v>
      </c>
      <c r="AC7" s="259">
        <v>111884.35104199999</v>
      </c>
      <c r="AD7" s="259">
        <v>156274.25488399999</v>
      </c>
      <c r="AE7" s="258">
        <v>146360.12024300001</v>
      </c>
      <c r="AF7" s="258">
        <v>143619.748364</v>
      </c>
      <c r="AG7" s="258">
        <v>156089.60086199999</v>
      </c>
      <c r="AH7" s="260">
        <v>161508.99095000001</v>
      </c>
      <c r="AI7" s="256" t="s">
        <v>525</v>
      </c>
      <c r="AJ7" s="261">
        <v>218541.048144</v>
      </c>
      <c r="AK7" s="259">
        <v>240203.85677700001</v>
      </c>
      <c r="AL7" s="258">
        <v>250534.426206</v>
      </c>
      <c r="AM7" s="258">
        <v>295137.73599999998</v>
      </c>
      <c r="AN7" s="258">
        <v>299048.40899999999</v>
      </c>
      <c r="AO7" s="258">
        <v>314196.50699999998</v>
      </c>
      <c r="AP7" s="258">
        <v>330246.011</v>
      </c>
      <c r="AQ7" s="258">
        <v>368253.45</v>
      </c>
      <c r="AR7" s="258">
        <v>373250.22100000002</v>
      </c>
      <c r="AS7" s="258">
        <v>126345.67</v>
      </c>
      <c r="AT7" s="258">
        <v>397068.61800000002</v>
      </c>
      <c r="AU7" s="258">
        <v>422586.397864</v>
      </c>
      <c r="AV7" s="258">
        <v>474955.25050000002</v>
      </c>
      <c r="AW7" s="258">
        <v>501107.904599</v>
      </c>
      <c r="AX7" s="258">
        <v>501035.385755</v>
      </c>
      <c r="AY7" s="258">
        <v>532802.52493700001</v>
      </c>
      <c r="AZ7" s="258">
        <v>529901.34386000002</v>
      </c>
      <c r="BA7" s="258">
        <v>526824.538695</v>
      </c>
      <c r="BB7" s="258">
        <v>493517.77744999999</v>
      </c>
      <c r="BC7" s="258">
        <v>505281.60938799998</v>
      </c>
      <c r="BD7" s="259">
        <v>470801.81735799997</v>
      </c>
      <c r="BE7" s="258">
        <v>415679.38482099999</v>
      </c>
      <c r="BF7" s="259">
        <v>479761.39949500002</v>
      </c>
      <c r="BG7" s="258">
        <v>409153</v>
      </c>
      <c r="BH7" s="259">
        <v>464340.686606</v>
      </c>
      <c r="BI7" s="258">
        <v>389752</v>
      </c>
      <c r="BJ7" s="259">
        <v>439756.23615800001</v>
      </c>
      <c r="BK7" s="258">
        <v>413073</v>
      </c>
      <c r="BL7" s="259">
        <v>458855.94377800002</v>
      </c>
      <c r="BM7" s="258">
        <v>432783</v>
      </c>
      <c r="BN7" s="259">
        <v>484318</v>
      </c>
      <c r="BO7" s="262">
        <v>418193</v>
      </c>
      <c r="BP7" s="260">
        <v>463774</v>
      </c>
      <c r="BQ7" s="256" t="s">
        <v>525</v>
      </c>
      <c r="BR7" s="261">
        <v>423248</v>
      </c>
      <c r="BS7" s="259">
        <v>471945</v>
      </c>
      <c r="BT7" s="258">
        <v>425222</v>
      </c>
      <c r="BU7" s="259">
        <v>478030</v>
      </c>
      <c r="BV7" s="258">
        <v>417761</v>
      </c>
      <c r="BW7" s="259">
        <v>477475</v>
      </c>
      <c r="BX7" s="262">
        <v>345870</v>
      </c>
      <c r="BY7" s="259">
        <v>392462</v>
      </c>
      <c r="BZ7" s="258">
        <v>288291</v>
      </c>
      <c r="CA7" s="259">
        <v>328625</v>
      </c>
      <c r="CB7" s="262">
        <v>247689</v>
      </c>
      <c r="CC7" s="259">
        <v>291887</v>
      </c>
      <c r="CD7" s="258">
        <v>259013</v>
      </c>
      <c r="CE7" s="259">
        <v>313327</v>
      </c>
      <c r="CF7" s="262">
        <v>301197</v>
      </c>
      <c r="CG7" s="259">
        <v>369157</v>
      </c>
      <c r="CH7" s="262">
        <v>323865</v>
      </c>
      <c r="CI7" s="259">
        <v>395572</v>
      </c>
      <c r="CJ7" s="258">
        <v>331259</v>
      </c>
      <c r="CK7" s="259">
        <v>405376</v>
      </c>
      <c r="CL7" s="258">
        <v>372639</v>
      </c>
      <c r="CM7" s="258">
        <v>441723</v>
      </c>
      <c r="CN7" s="258">
        <v>338103.04459</v>
      </c>
      <c r="CO7" s="259">
        <v>422587.10035399999</v>
      </c>
      <c r="CP7" s="258">
        <v>374232.22670499998</v>
      </c>
      <c r="CQ7" s="258">
        <v>467724.93527800002</v>
      </c>
      <c r="CR7" s="258">
        <v>401273</v>
      </c>
      <c r="CS7" s="258">
        <v>492087</v>
      </c>
      <c r="CT7" s="258">
        <v>387266</v>
      </c>
      <c r="CU7" s="258">
        <v>487856</v>
      </c>
      <c r="CV7" s="258">
        <v>366086</v>
      </c>
      <c r="CW7" s="258">
        <v>678059</v>
      </c>
      <c r="CX7" s="258">
        <v>364624</v>
      </c>
      <c r="CY7" s="260">
        <v>682912</v>
      </c>
      <c r="DD7" s="263" t="s">
        <v>526</v>
      </c>
      <c r="DE7" s="245"/>
      <c r="DF7" s="245"/>
      <c r="DG7" s="643"/>
      <c r="DH7" s="264">
        <v>608643</v>
      </c>
      <c r="DI7" s="265">
        <v>580617</v>
      </c>
      <c r="DJ7" s="265">
        <v>554955</v>
      </c>
      <c r="DK7" s="265">
        <v>520755</v>
      </c>
      <c r="DL7" s="265">
        <v>501055</v>
      </c>
      <c r="DM7" s="265">
        <v>493928</v>
      </c>
      <c r="DN7" s="265">
        <v>483811</v>
      </c>
      <c r="DO7" s="265">
        <v>470479</v>
      </c>
      <c r="DP7" s="265">
        <v>453144</v>
      </c>
      <c r="DQ7" s="266">
        <v>428091</v>
      </c>
      <c r="DS7" s="245"/>
      <c r="DT7" s="245"/>
      <c r="DU7" s="245"/>
      <c r="DV7" s="645"/>
      <c r="DW7" s="418">
        <v>36247</v>
      </c>
      <c r="DX7" s="403">
        <v>28512</v>
      </c>
      <c r="DY7" s="265">
        <v>21359</v>
      </c>
      <c r="DZ7" s="265">
        <v>20424</v>
      </c>
      <c r="EA7" s="265">
        <v>19036</v>
      </c>
      <c r="EB7" s="265">
        <v>19024</v>
      </c>
      <c r="EC7" s="265">
        <v>12882</v>
      </c>
      <c r="ED7" s="265">
        <v>8363</v>
      </c>
      <c r="EE7" s="265">
        <v>8218</v>
      </c>
      <c r="EF7" s="265">
        <v>7900</v>
      </c>
      <c r="EG7" s="266">
        <v>7700</v>
      </c>
    </row>
    <row r="8" spans="1:137" ht="23.1" customHeight="1" thickBot="1">
      <c r="A8" s="267" t="s">
        <v>527</v>
      </c>
      <c r="B8" s="268" t="s">
        <v>206</v>
      </c>
      <c r="C8" s="269">
        <f>C7-31.66212646</f>
        <v>2.4202297799999961</v>
      </c>
      <c r="D8" s="269">
        <v>8.7076927499999996</v>
      </c>
      <c r="E8" s="269">
        <v>28.059491999999999</v>
      </c>
      <c r="F8" s="269">
        <v>36.041460000000001</v>
      </c>
      <c r="G8" s="269">
        <f>28.00023631+18.83522</f>
        <v>46.835456309999998</v>
      </c>
      <c r="H8" s="269">
        <v>61.048309000000003</v>
      </c>
      <c r="I8" s="269">
        <v>135.900137</v>
      </c>
      <c r="J8" s="269">
        <v>306.22753399999999</v>
      </c>
      <c r="K8" s="269">
        <v>306.319029</v>
      </c>
      <c r="L8" s="269">
        <v>467.12235600000002</v>
      </c>
      <c r="M8" s="269">
        <v>383.78968900000001</v>
      </c>
      <c r="N8" s="269">
        <v>594.43531599999994</v>
      </c>
      <c r="O8" s="269">
        <v>1132.009409</v>
      </c>
      <c r="P8" s="269">
        <v>1864.654006</v>
      </c>
      <c r="Q8" s="269">
        <v>1745.9854459999999</v>
      </c>
      <c r="R8" s="269">
        <v>2031.921241</v>
      </c>
      <c r="S8" s="269">
        <v>2640.9037020000001</v>
      </c>
      <c r="T8" s="269">
        <v>3075.0805559999999</v>
      </c>
      <c r="U8" s="269">
        <v>3391.2437439999999</v>
      </c>
      <c r="V8" s="269">
        <v>3530.0356000000002</v>
      </c>
      <c r="W8" s="269">
        <v>3597.4275469999998</v>
      </c>
      <c r="X8" s="269">
        <v>4157.8129840000001</v>
      </c>
      <c r="Y8" s="269">
        <v>5652.101103</v>
      </c>
      <c r="Z8" s="269">
        <v>8162.8897159999997</v>
      </c>
      <c r="AA8" s="269">
        <v>9051.7877370000006</v>
      </c>
      <c r="AB8" s="92">
        <v>10229.845805999999</v>
      </c>
      <c r="AC8" s="92">
        <v>9284.4124329999995</v>
      </c>
      <c r="AD8" s="92">
        <v>12262.27253</v>
      </c>
      <c r="AE8" s="269">
        <v>16448.33454</v>
      </c>
      <c r="AF8" s="269">
        <v>18275.640851</v>
      </c>
      <c r="AG8" s="269">
        <v>16973.2655003</v>
      </c>
      <c r="AH8" s="270">
        <v>20078.81206</v>
      </c>
      <c r="AI8" s="267" t="s">
        <v>527</v>
      </c>
      <c r="AJ8" s="271">
        <v>21669.701378999998</v>
      </c>
      <c r="AK8" s="92">
        <v>21784.845001999998</v>
      </c>
      <c r="AL8" s="269">
        <v>26443.077808999999</v>
      </c>
      <c r="AM8" s="269">
        <v>31172.098000000002</v>
      </c>
      <c r="AN8" s="269">
        <v>32209.525000000001</v>
      </c>
      <c r="AO8" s="269">
        <v>29497.983</v>
      </c>
      <c r="AP8" s="269">
        <v>27006.47</v>
      </c>
      <c r="AQ8" s="269">
        <v>22727.897000000001</v>
      </c>
      <c r="AR8" s="269">
        <v>25601.429</v>
      </c>
      <c r="AS8" s="269">
        <v>9111.8950000000004</v>
      </c>
      <c r="AT8" s="269">
        <v>27511.491999999998</v>
      </c>
      <c r="AU8" s="269">
        <v>30477.396661899998</v>
      </c>
      <c r="AV8" s="269">
        <v>38590.261920999998</v>
      </c>
      <c r="AW8" s="269">
        <v>41911.352734</v>
      </c>
      <c r="AX8" s="269">
        <v>46977.777218000003</v>
      </c>
      <c r="AY8" s="269">
        <v>49089.021737000003</v>
      </c>
      <c r="AZ8" s="269">
        <v>50162.582864000004</v>
      </c>
      <c r="BA8" s="269">
        <v>46446.253173999998</v>
      </c>
      <c r="BB8" s="269">
        <v>43853.655383999998</v>
      </c>
      <c r="BC8" s="269">
        <v>40469.841158000003</v>
      </c>
      <c r="BD8" s="92">
        <v>35592.962080999998</v>
      </c>
      <c r="BE8" s="269">
        <v>39117.390779000001</v>
      </c>
      <c r="BF8" s="92">
        <v>49852.561272999999</v>
      </c>
      <c r="BG8" s="269">
        <v>38303</v>
      </c>
      <c r="BH8" s="92">
        <v>47861.806307999999</v>
      </c>
      <c r="BI8" s="269">
        <v>32776</v>
      </c>
      <c r="BJ8" s="92">
        <v>41485.637468000001</v>
      </c>
      <c r="BK8" s="269">
        <v>17328</v>
      </c>
      <c r="BL8" s="92">
        <v>26100.170504000002</v>
      </c>
      <c r="BM8" s="269">
        <v>29439</v>
      </c>
      <c r="BN8" s="92">
        <v>37994</v>
      </c>
      <c r="BO8" s="272">
        <v>29498</v>
      </c>
      <c r="BP8" s="270">
        <v>37970</v>
      </c>
      <c r="BQ8" s="267" t="s">
        <v>527</v>
      </c>
      <c r="BR8" s="271">
        <v>29619</v>
      </c>
      <c r="BS8" s="92">
        <v>37135</v>
      </c>
      <c r="BT8" s="269">
        <v>23217</v>
      </c>
      <c r="BU8" s="92">
        <v>31242</v>
      </c>
      <c r="BV8" s="269">
        <v>16103</v>
      </c>
      <c r="BW8" s="92">
        <v>23322</v>
      </c>
      <c r="BX8" s="272">
        <v>23798</v>
      </c>
      <c r="BY8" s="92">
        <v>30111</v>
      </c>
      <c r="BZ8" s="269">
        <v>21391</v>
      </c>
      <c r="CA8" s="92">
        <v>25742</v>
      </c>
      <c r="CB8" s="272">
        <v>19694</v>
      </c>
      <c r="CC8" s="92">
        <v>24363</v>
      </c>
      <c r="CD8" s="269">
        <v>19264</v>
      </c>
      <c r="CE8" s="92">
        <v>26106</v>
      </c>
      <c r="CF8" s="272">
        <v>6443</v>
      </c>
      <c r="CG8" s="92">
        <v>15241</v>
      </c>
      <c r="CH8" s="272">
        <v>20069</v>
      </c>
      <c r="CI8" s="92">
        <v>29614</v>
      </c>
      <c r="CJ8" s="269">
        <v>23734</v>
      </c>
      <c r="CK8" s="92">
        <v>33277</v>
      </c>
      <c r="CL8" s="269">
        <v>31261</v>
      </c>
      <c r="CM8" s="269">
        <v>41211</v>
      </c>
      <c r="CN8" s="269">
        <v>35302.986084999997</v>
      </c>
      <c r="CO8" s="92">
        <v>47662.954299999998</v>
      </c>
      <c r="CP8" s="269">
        <v>46963.262455999997</v>
      </c>
      <c r="CQ8" s="269">
        <v>61778.382444000003</v>
      </c>
      <c r="CR8" s="269">
        <v>51447</v>
      </c>
      <c r="CS8" s="269">
        <v>65150</v>
      </c>
      <c r="CT8" s="269">
        <v>53217</v>
      </c>
      <c r="CU8" s="269">
        <v>67560</v>
      </c>
      <c r="CV8" s="269">
        <v>53670</v>
      </c>
      <c r="CW8" s="269">
        <v>96757</v>
      </c>
      <c r="CX8" s="269">
        <v>54136</v>
      </c>
      <c r="CY8" s="270">
        <v>91610</v>
      </c>
      <c r="DD8" s="273"/>
      <c r="DS8" s="245"/>
      <c r="DT8" s="245"/>
      <c r="DU8" s="245"/>
      <c r="DV8" s="644" t="s">
        <v>521</v>
      </c>
      <c r="DW8" s="408" t="s">
        <v>519</v>
      </c>
      <c r="DX8" s="254" t="s">
        <v>516</v>
      </c>
      <c r="DY8" s="422" t="s">
        <v>514</v>
      </c>
      <c r="DZ8" s="254" t="s">
        <v>518</v>
      </c>
      <c r="EA8" s="254" t="s">
        <v>515</v>
      </c>
      <c r="EB8" s="254" t="s">
        <v>513</v>
      </c>
      <c r="EC8" s="254" t="s">
        <v>517</v>
      </c>
      <c r="ED8" s="254" t="s">
        <v>512</v>
      </c>
      <c r="EE8" s="254" t="s">
        <v>511</v>
      </c>
      <c r="EF8" s="254" t="s">
        <v>503</v>
      </c>
      <c r="EG8" s="255" t="s">
        <v>501</v>
      </c>
    </row>
    <row r="9" spans="1:137" ht="23.1" customHeight="1" thickBot="1">
      <c r="A9" s="274" t="s">
        <v>528</v>
      </c>
      <c r="B9" s="275" t="s">
        <v>206</v>
      </c>
      <c r="C9" s="276">
        <f>C8/C7</f>
        <v>7.1011222433017926E-2</v>
      </c>
      <c r="D9" s="276">
        <f t="shared" ref="D9:BP9" si="0">D8/D7</f>
        <v>1</v>
      </c>
      <c r="E9" s="276">
        <f t="shared" si="0"/>
        <v>8.0558085745373945E-2</v>
      </c>
      <c r="F9" s="276">
        <f t="shared" si="0"/>
        <v>0.12711390295480135</v>
      </c>
      <c r="G9" s="276">
        <f t="shared" si="0"/>
        <v>0.15962459725025782</v>
      </c>
      <c r="H9" s="276">
        <f t="shared" si="0"/>
        <v>6.8744393200345061E-2</v>
      </c>
      <c r="I9" s="276">
        <f t="shared" si="0"/>
        <v>0.10454162500685828</v>
      </c>
      <c r="J9" s="276">
        <f t="shared" si="0"/>
        <v>9.7774908873309724E-2</v>
      </c>
      <c r="K9" s="276">
        <f t="shared" si="0"/>
        <v>0.12473193959651485</v>
      </c>
      <c r="L9" s="276">
        <f t="shared" si="0"/>
        <v>0.13913588000036711</v>
      </c>
      <c r="M9" s="276">
        <f t="shared" si="0"/>
        <v>0.1157454845009977</v>
      </c>
      <c r="N9" s="276">
        <f t="shared" si="0"/>
        <v>0.13287713133849194</v>
      </c>
      <c r="O9" s="276">
        <f>O8/O7</f>
        <v>0.13670453768242133</v>
      </c>
      <c r="P9" s="276">
        <f t="shared" si="0"/>
        <v>0.20683183988940093</v>
      </c>
      <c r="Q9" s="276">
        <f t="shared" si="0"/>
        <v>0.1567685489075496</v>
      </c>
      <c r="R9" s="276">
        <f t="shared" si="0"/>
        <v>0.13202081979219576</v>
      </c>
      <c r="S9" s="276">
        <f t="shared" si="0"/>
        <v>0.13970630905548748</v>
      </c>
      <c r="T9" s="276">
        <f t="shared" si="0"/>
        <v>0.13140253150559925</v>
      </c>
      <c r="U9" s="276">
        <f t="shared" si="0"/>
        <v>0.12512573495057724</v>
      </c>
      <c r="V9" s="276">
        <f t="shared" si="0"/>
        <v>0.11529730404384382</v>
      </c>
      <c r="W9" s="276">
        <f t="shared" si="0"/>
        <v>0.10079153000246716</v>
      </c>
      <c r="X9" s="276">
        <f t="shared" si="0"/>
        <v>9.2981206449659348E-2</v>
      </c>
      <c r="Y9" s="276">
        <f t="shared" si="0"/>
        <v>0.10301339449980766</v>
      </c>
      <c r="Z9" s="276">
        <f t="shared" si="0"/>
        <v>0.11868972888281323</v>
      </c>
      <c r="AA9" s="276">
        <f t="shared" si="0"/>
        <v>0.11210299143142188</v>
      </c>
      <c r="AB9" s="276">
        <f t="shared" si="0"/>
        <v>0.11337463033071342</v>
      </c>
      <c r="AC9" s="276">
        <f t="shared" si="0"/>
        <v>8.2982225365142853E-2</v>
      </c>
      <c r="AD9" s="277">
        <f t="shared" si="0"/>
        <v>7.8466363759674293E-2</v>
      </c>
      <c r="AE9" s="276">
        <f t="shared" si="0"/>
        <v>0.11238262521710846</v>
      </c>
      <c r="AF9" s="276">
        <f t="shared" si="0"/>
        <v>0.12725019406579749</v>
      </c>
      <c r="AG9" s="276">
        <f t="shared" si="0"/>
        <v>0.10874052727770246</v>
      </c>
      <c r="AH9" s="278">
        <f t="shared" si="0"/>
        <v>0.1243200885715149</v>
      </c>
      <c r="AI9" s="274" t="s">
        <v>528</v>
      </c>
      <c r="AJ9" s="279">
        <f t="shared" si="0"/>
        <v>9.9156206868384306E-2</v>
      </c>
      <c r="AK9" s="277">
        <f t="shared" si="0"/>
        <v>9.0693152451022344E-2</v>
      </c>
      <c r="AL9" s="276">
        <f t="shared" si="0"/>
        <v>0.10554668358135094</v>
      </c>
      <c r="AM9" s="276">
        <f t="shared" si="0"/>
        <v>0.10561881520972298</v>
      </c>
      <c r="AN9" s="276">
        <f t="shared" si="0"/>
        <v>0.1077067258364849</v>
      </c>
      <c r="AO9" s="276">
        <f t="shared" si="0"/>
        <v>9.3883866761128573E-2</v>
      </c>
      <c r="AP9" s="276">
        <f t="shared" si="0"/>
        <v>8.1776824247545565E-2</v>
      </c>
      <c r="AQ9" s="276">
        <f t="shared" si="0"/>
        <v>6.1718083021353905E-2</v>
      </c>
      <c r="AR9" s="276">
        <f t="shared" si="0"/>
        <v>6.8590526032133281E-2</v>
      </c>
      <c r="AS9" s="276">
        <f t="shared" si="0"/>
        <v>7.2118775419846209E-2</v>
      </c>
      <c r="AT9" s="276">
        <f t="shared" si="0"/>
        <v>6.9286492945660083E-2</v>
      </c>
      <c r="AU9" s="276">
        <f t="shared" si="0"/>
        <v>7.2121101899991741E-2</v>
      </c>
      <c r="AV9" s="276">
        <f t="shared" si="0"/>
        <v>8.1250311224846633E-2</v>
      </c>
      <c r="AW9" s="276">
        <f t="shared" si="0"/>
        <v>8.3637380989905932E-2</v>
      </c>
      <c r="AX9" s="276">
        <f t="shared" si="0"/>
        <v>9.3761396008407966E-2</v>
      </c>
      <c r="AY9" s="276">
        <f t="shared" si="0"/>
        <v>9.2133613185869226E-2</v>
      </c>
      <c r="AZ9" s="276">
        <f t="shared" si="0"/>
        <v>9.4664003866449825E-2</v>
      </c>
      <c r="BA9" s="276">
        <f t="shared" si="0"/>
        <v>8.8162660928916239E-2</v>
      </c>
      <c r="BB9" s="276">
        <f t="shared" si="0"/>
        <v>8.8859322577174979E-2</v>
      </c>
      <c r="BC9" s="276">
        <f t="shared" si="0"/>
        <v>8.0093635719331466E-2</v>
      </c>
      <c r="BD9" s="276">
        <f t="shared" si="0"/>
        <v>7.5600732131275813E-2</v>
      </c>
      <c r="BE9" s="276">
        <f t="shared" si="0"/>
        <v>9.410471677791947E-2</v>
      </c>
      <c r="BF9" s="276">
        <f t="shared" si="0"/>
        <v>0.10391115526483609</v>
      </c>
      <c r="BG9" s="276">
        <f t="shared" si="0"/>
        <v>9.3615346826248377E-2</v>
      </c>
      <c r="BH9" s="276">
        <f t="shared" si="0"/>
        <v>0.10307476318268757</v>
      </c>
      <c r="BI9" s="276">
        <f t="shared" si="0"/>
        <v>8.409450111866007E-2</v>
      </c>
      <c r="BJ9" s="277">
        <f t="shared" si="0"/>
        <v>9.4337803666972045E-2</v>
      </c>
      <c r="BK9" s="276">
        <f t="shared" si="0"/>
        <v>4.194900175029595E-2</v>
      </c>
      <c r="BL9" s="277">
        <f t="shared" si="0"/>
        <v>5.6880968543424983E-2</v>
      </c>
      <c r="BM9" s="276">
        <f t="shared" si="0"/>
        <v>6.8022542475097217E-2</v>
      </c>
      <c r="BN9" s="276">
        <f t="shared" si="0"/>
        <v>7.8448457418472992E-2</v>
      </c>
      <c r="BO9" s="276">
        <f t="shared" si="0"/>
        <v>7.053680955922266E-2</v>
      </c>
      <c r="BP9" s="278">
        <f t="shared" si="0"/>
        <v>8.1871773751870519E-2</v>
      </c>
      <c r="BQ9" s="274" t="s">
        <v>528</v>
      </c>
      <c r="BR9" s="279">
        <f t="shared" ref="BR9:CQ9" si="1">BR8/BR7</f>
        <v>6.99802479869958E-2</v>
      </c>
      <c r="BS9" s="276">
        <f t="shared" si="1"/>
        <v>7.8685016262488208E-2</v>
      </c>
      <c r="BT9" s="276">
        <f t="shared" si="1"/>
        <v>5.4599714972414407E-2</v>
      </c>
      <c r="BU9" s="277">
        <f t="shared" si="1"/>
        <v>6.5355730811873736E-2</v>
      </c>
      <c r="BV9" s="276">
        <f t="shared" si="1"/>
        <v>3.8545962883083866E-2</v>
      </c>
      <c r="BW9" s="276">
        <f t="shared" si="1"/>
        <v>4.8844442117388344E-2</v>
      </c>
      <c r="BX9" s="276">
        <f t="shared" si="1"/>
        <v>6.8806198860843673E-2</v>
      </c>
      <c r="BY9" s="276">
        <f t="shared" si="1"/>
        <v>7.6723351560151046E-2</v>
      </c>
      <c r="BZ9" s="276">
        <f t="shared" si="1"/>
        <v>7.4199333312521029E-2</v>
      </c>
      <c r="CA9" s="276">
        <f t="shared" si="1"/>
        <v>7.8332445796880937E-2</v>
      </c>
      <c r="CB9" s="276">
        <f t="shared" si="1"/>
        <v>7.9510999681051645E-2</v>
      </c>
      <c r="CC9" s="276">
        <f t="shared" si="1"/>
        <v>8.3467232182317136E-2</v>
      </c>
      <c r="CD9" s="276">
        <f t="shared" si="1"/>
        <v>7.4374645288074345E-2</v>
      </c>
      <c r="CE9" s="276">
        <f t="shared" si="1"/>
        <v>8.3318705378087429E-2</v>
      </c>
      <c r="CF9" s="276">
        <f t="shared" si="1"/>
        <v>2.139131531854567E-2</v>
      </c>
      <c r="CG9" s="276">
        <f t="shared" si="1"/>
        <v>4.1285956923477002E-2</v>
      </c>
      <c r="CH9" s="276">
        <f t="shared" si="1"/>
        <v>6.196717768205888E-2</v>
      </c>
      <c r="CI9" s="276">
        <f t="shared" si="1"/>
        <v>7.4863741619730417E-2</v>
      </c>
      <c r="CJ9" s="276">
        <f t="shared" si="1"/>
        <v>7.1647864661790323E-2</v>
      </c>
      <c r="CK9" s="277">
        <f t="shared" si="1"/>
        <v>8.2089220871487206E-2</v>
      </c>
      <c r="CL9" s="276">
        <f t="shared" si="1"/>
        <v>8.3890843416818961E-2</v>
      </c>
      <c r="CM9" s="276">
        <f t="shared" si="1"/>
        <v>9.3296024884373233E-2</v>
      </c>
      <c r="CN9" s="276">
        <f t="shared" ref="CN9:CO9" si="2">CN8/CN7</f>
        <v>0.10441487188561137</v>
      </c>
      <c r="CO9" s="277">
        <f t="shared" si="2"/>
        <v>0.11278847428156911</v>
      </c>
      <c r="CP9" s="276">
        <f t="shared" si="1"/>
        <v>0.1254922989115532</v>
      </c>
      <c r="CQ9" s="276">
        <f t="shared" si="1"/>
        <v>0.13208272166905322</v>
      </c>
      <c r="CR9" s="276">
        <f t="shared" ref="CR9:CS9" si="3">CR8/CR7</f>
        <v>0.12820947335106025</v>
      </c>
      <c r="CS9" s="276">
        <f t="shared" si="3"/>
        <v>0.13239528782512036</v>
      </c>
      <c r="CT9" s="276">
        <f t="shared" ref="CT9:CU9" si="4">CT8/CT7</f>
        <v>0.13741717579131657</v>
      </c>
      <c r="CU9" s="276">
        <f t="shared" si="4"/>
        <v>0.13848348693056967</v>
      </c>
      <c r="CV9" s="276">
        <f t="shared" ref="CV9:CW9" si="5">CV8/CV7</f>
        <v>0.14660489611730576</v>
      </c>
      <c r="CW9" s="276">
        <f t="shared" si="5"/>
        <v>0.1426970219405686</v>
      </c>
      <c r="CX9" s="276">
        <f t="shared" ref="CX9:CY9" si="6">CX8/CX7</f>
        <v>0.14847075343367414</v>
      </c>
      <c r="CY9" s="278">
        <f t="shared" si="6"/>
        <v>0.13414612717304719</v>
      </c>
      <c r="DD9" s="244" t="s">
        <v>525</v>
      </c>
      <c r="DE9" s="245"/>
      <c r="DF9" s="245"/>
      <c r="DG9" s="642" t="s">
        <v>520</v>
      </c>
      <c r="DH9" s="253" t="s">
        <v>491</v>
      </c>
      <c r="DI9" s="254" t="s">
        <v>492</v>
      </c>
      <c r="DJ9" s="254" t="s">
        <v>493</v>
      </c>
      <c r="DK9" s="254" t="s">
        <v>495</v>
      </c>
      <c r="DL9" s="254" t="s">
        <v>489</v>
      </c>
      <c r="DM9" s="254" t="s">
        <v>490</v>
      </c>
      <c r="DN9" s="254" t="s">
        <v>494</v>
      </c>
      <c r="DO9" s="254" t="s">
        <v>488</v>
      </c>
      <c r="DP9" s="254" t="s">
        <v>496</v>
      </c>
      <c r="DQ9" s="255" t="s">
        <v>501</v>
      </c>
      <c r="DS9" s="245"/>
      <c r="DT9" s="245"/>
      <c r="DU9" s="245"/>
      <c r="DV9" s="645"/>
      <c r="DW9" s="397">
        <v>26689</v>
      </c>
      <c r="DX9" s="265">
        <v>23952</v>
      </c>
      <c r="DY9" s="423">
        <v>23942</v>
      </c>
      <c r="DZ9" s="265">
        <v>23275</v>
      </c>
      <c r="EA9" s="265">
        <v>23057</v>
      </c>
      <c r="EB9" s="265">
        <v>17505</v>
      </c>
      <c r="EC9" s="265">
        <v>14342</v>
      </c>
      <c r="ED9" s="265">
        <v>13603</v>
      </c>
      <c r="EE9" s="265">
        <v>9265</v>
      </c>
      <c r="EF9" s="265">
        <v>4546</v>
      </c>
      <c r="EG9" s="266">
        <v>3261</v>
      </c>
    </row>
    <row r="10" spans="1:137" ht="23.1" customHeight="1" thickBot="1">
      <c r="A10" s="280" t="s">
        <v>529</v>
      </c>
      <c r="B10" s="281"/>
      <c r="C10" s="258">
        <v>2.2966181300000001</v>
      </c>
      <c r="D10" s="258">
        <f>D7+D13-D15-D17</f>
        <v>5.7742317300000003</v>
      </c>
      <c r="E10" s="258">
        <v>20.983443000000001</v>
      </c>
      <c r="F10" s="258">
        <v>25.484172000000001</v>
      </c>
      <c r="G10" s="258">
        <v>35.240317650000001</v>
      </c>
      <c r="H10" s="258">
        <v>54.510328000000001</v>
      </c>
      <c r="I10" s="258">
        <v>85.910458000000006</v>
      </c>
      <c r="J10" s="258">
        <v>143.45286200000001</v>
      </c>
      <c r="K10" s="258">
        <v>137.58843999999999</v>
      </c>
      <c r="L10" s="258">
        <v>189.13181299999999</v>
      </c>
      <c r="M10" s="258">
        <v>157.66054800000001</v>
      </c>
      <c r="N10" s="258">
        <v>178.87832</v>
      </c>
      <c r="O10" s="258">
        <v>467.369573</v>
      </c>
      <c r="P10" s="258">
        <v>602.45392200000003</v>
      </c>
      <c r="Q10" s="258">
        <v>703.26697899999999</v>
      </c>
      <c r="R10" s="258">
        <v>722.82726600000001</v>
      </c>
      <c r="S10" s="258">
        <v>1002.144775</v>
      </c>
      <c r="T10" s="258">
        <v>1174.5108029999999</v>
      </c>
      <c r="U10" s="258">
        <v>1338.390453</v>
      </c>
      <c r="V10" s="258">
        <v>1428.148874</v>
      </c>
      <c r="W10" s="258">
        <v>1591.897532</v>
      </c>
      <c r="X10" s="258">
        <v>1710.1437089999999</v>
      </c>
      <c r="Y10" s="258">
        <v>2145.989454</v>
      </c>
      <c r="Z10" s="258">
        <v>2971.8662009999998</v>
      </c>
      <c r="AA10" s="258">
        <v>3429.2349760000002</v>
      </c>
      <c r="AB10" s="259">
        <v>4029.7664450000002</v>
      </c>
      <c r="AC10" s="259">
        <v>4319.4659460000003</v>
      </c>
      <c r="AD10" s="259">
        <v>5517.4391349999996</v>
      </c>
      <c r="AE10" s="258">
        <v>6994.6624060000004</v>
      </c>
      <c r="AF10" s="258">
        <v>8325.1219619999993</v>
      </c>
      <c r="AG10" s="258">
        <v>8847.4764930000001</v>
      </c>
      <c r="AH10" s="260">
        <v>9411.1018939999994</v>
      </c>
      <c r="AI10" s="280" t="s">
        <v>529</v>
      </c>
      <c r="AJ10" s="261">
        <v>10198.019141999999</v>
      </c>
      <c r="AK10" s="259">
        <v>10913.956328</v>
      </c>
      <c r="AL10" s="258">
        <v>12247.734118</v>
      </c>
      <c r="AM10" s="258">
        <v>13950.799000000001</v>
      </c>
      <c r="AN10" s="258">
        <v>15261.989</v>
      </c>
      <c r="AO10" s="258">
        <v>15541.268</v>
      </c>
      <c r="AP10" s="258">
        <v>15458.671</v>
      </c>
      <c r="AQ10" s="258">
        <v>16518.514999999999</v>
      </c>
      <c r="AR10" s="258">
        <v>17676.023000000001</v>
      </c>
      <c r="AS10" s="258">
        <v>6258.0889999999999</v>
      </c>
      <c r="AT10" s="258">
        <v>20374.338</v>
      </c>
      <c r="AU10" s="258">
        <v>22761.611921</v>
      </c>
      <c r="AV10" s="258">
        <v>26066.334486</v>
      </c>
      <c r="AW10" s="258">
        <v>30597.211512999998</v>
      </c>
      <c r="AX10" s="258">
        <v>34599.057513</v>
      </c>
      <c r="AY10" s="258">
        <v>36454.837948</v>
      </c>
      <c r="AZ10" s="258">
        <v>37148.016421</v>
      </c>
      <c r="BA10" s="258">
        <v>35687.765492999999</v>
      </c>
      <c r="BB10" s="258">
        <v>35208.331149999998</v>
      </c>
      <c r="BC10" s="258">
        <v>32464.887572</v>
      </c>
      <c r="BD10" s="259">
        <v>27105.774009000001</v>
      </c>
      <c r="BE10" s="258">
        <v>29021.568684999998</v>
      </c>
      <c r="BF10" s="259">
        <v>38183.059368000002</v>
      </c>
      <c r="BG10" s="258">
        <v>26524</v>
      </c>
      <c r="BH10" s="259">
        <v>34731.427919000002</v>
      </c>
      <c r="BI10" s="258">
        <v>24127</v>
      </c>
      <c r="BJ10" s="259">
        <v>31636.719087000001</v>
      </c>
      <c r="BK10" s="258">
        <v>23766</v>
      </c>
      <c r="BL10" s="259">
        <v>30869.537584999998</v>
      </c>
      <c r="BM10" s="258">
        <v>24119</v>
      </c>
      <c r="BN10" s="259">
        <v>30526</v>
      </c>
      <c r="BO10" s="262">
        <v>21916</v>
      </c>
      <c r="BP10" s="260">
        <v>28672</v>
      </c>
      <c r="BQ10" s="280" t="s">
        <v>529</v>
      </c>
      <c r="BR10" s="261">
        <v>23047</v>
      </c>
      <c r="BS10" s="259">
        <v>29260</v>
      </c>
      <c r="BT10" s="258">
        <v>22718</v>
      </c>
      <c r="BU10" s="259">
        <v>29171</v>
      </c>
      <c r="BV10" s="258">
        <v>21528</v>
      </c>
      <c r="BW10" s="259">
        <v>27695</v>
      </c>
      <c r="BX10" s="262">
        <v>18952</v>
      </c>
      <c r="BY10" s="259">
        <v>25142</v>
      </c>
      <c r="BZ10" s="258">
        <v>17206</v>
      </c>
      <c r="CA10" s="259">
        <v>23058</v>
      </c>
      <c r="CB10" s="262">
        <v>17110</v>
      </c>
      <c r="CC10" s="259">
        <v>22445</v>
      </c>
      <c r="CD10" s="258">
        <v>15102</v>
      </c>
      <c r="CE10" s="259">
        <v>20807</v>
      </c>
      <c r="CF10" s="262">
        <v>15108</v>
      </c>
      <c r="CG10" s="259">
        <v>22292</v>
      </c>
      <c r="CH10" s="262">
        <v>14804</v>
      </c>
      <c r="CI10" s="259">
        <v>21760</v>
      </c>
      <c r="CJ10" s="258">
        <v>15554</v>
      </c>
      <c r="CK10" s="259">
        <v>22298</v>
      </c>
      <c r="CL10" s="258">
        <v>15651</v>
      </c>
      <c r="CM10" s="258">
        <v>22508</v>
      </c>
      <c r="CN10" s="258">
        <v>17761.981546800002</v>
      </c>
      <c r="CO10" s="259">
        <v>24559.064941000001</v>
      </c>
      <c r="CP10" s="258">
        <v>19085.229853000001</v>
      </c>
      <c r="CQ10" s="258">
        <v>26391.804970000001</v>
      </c>
      <c r="CR10" s="258">
        <v>21627</v>
      </c>
      <c r="CS10" s="258">
        <v>29205</v>
      </c>
      <c r="CT10" s="258">
        <v>24646</v>
      </c>
      <c r="CU10" s="258">
        <v>33515</v>
      </c>
      <c r="CV10" s="258">
        <v>23947</v>
      </c>
      <c r="CW10" s="258">
        <v>50413</v>
      </c>
      <c r="CX10" s="258">
        <v>26816</v>
      </c>
      <c r="CY10" s="260">
        <v>54120</v>
      </c>
      <c r="DD10" s="273"/>
      <c r="DE10" s="245"/>
      <c r="DF10" s="245"/>
      <c r="DG10" s="643"/>
      <c r="DH10" s="264">
        <v>532803</v>
      </c>
      <c r="DI10" s="265">
        <v>529901</v>
      </c>
      <c r="DJ10" s="265">
        <v>526825</v>
      </c>
      <c r="DK10" s="265">
        <v>505282</v>
      </c>
      <c r="DL10" s="265">
        <v>501108</v>
      </c>
      <c r="DM10" s="265">
        <v>501035</v>
      </c>
      <c r="DN10" s="265">
        <v>493518</v>
      </c>
      <c r="DO10" s="265">
        <v>474955</v>
      </c>
      <c r="DP10" s="265">
        <v>470802</v>
      </c>
      <c r="DQ10" s="266">
        <v>432783</v>
      </c>
    </row>
    <row r="11" spans="1:137" ht="23.1" customHeight="1">
      <c r="A11" s="267" t="s">
        <v>148</v>
      </c>
      <c r="B11" s="268" t="s">
        <v>206</v>
      </c>
      <c r="C11" s="269">
        <f t="shared" ref="C11:BD11" si="7">C8-C10</f>
        <v>0.12361164999999597</v>
      </c>
      <c r="D11" s="269">
        <f t="shared" si="7"/>
        <v>2.9334610199999993</v>
      </c>
      <c r="E11" s="269">
        <f>E8-E10</f>
        <v>7.0760489999999976</v>
      </c>
      <c r="F11" s="269">
        <f>F8-F10</f>
        <v>10.557288</v>
      </c>
      <c r="G11" s="269">
        <f t="shared" si="7"/>
        <v>11.595138659999996</v>
      </c>
      <c r="H11" s="269">
        <f t="shared" si="7"/>
        <v>6.537981000000002</v>
      </c>
      <c r="I11" s="269">
        <f t="shared" si="7"/>
        <v>49.989678999999995</v>
      </c>
      <c r="J11" s="269">
        <f t="shared" si="7"/>
        <v>162.77467199999998</v>
      </c>
      <c r="K11" s="269">
        <f t="shared" si="7"/>
        <v>168.73058900000001</v>
      </c>
      <c r="L11" s="269">
        <f t="shared" si="7"/>
        <v>277.990543</v>
      </c>
      <c r="M11" s="269">
        <f t="shared" si="7"/>
        <v>226.129141</v>
      </c>
      <c r="N11" s="269">
        <f t="shared" si="7"/>
        <v>415.55699599999991</v>
      </c>
      <c r="O11" s="269">
        <f t="shared" si="7"/>
        <v>664.63983600000006</v>
      </c>
      <c r="P11" s="269">
        <f t="shared" si="7"/>
        <v>1262.2000840000001</v>
      </c>
      <c r="Q11" s="269">
        <f t="shared" si="7"/>
        <v>1042.7184669999999</v>
      </c>
      <c r="R11" s="269">
        <f t="shared" si="7"/>
        <v>1309.093975</v>
      </c>
      <c r="S11" s="269">
        <f t="shared" si="7"/>
        <v>1638.7589270000001</v>
      </c>
      <c r="T11" s="269">
        <f>T8-T10</f>
        <v>1900.569753</v>
      </c>
      <c r="U11" s="282">
        <f>U8-U10</f>
        <v>2052.8532909999999</v>
      </c>
      <c r="V11" s="269">
        <f>V8-V10</f>
        <v>2101.8867260000002</v>
      </c>
      <c r="W11" s="269">
        <f>W8-W10</f>
        <v>2005.5300149999998</v>
      </c>
      <c r="X11" s="269">
        <f t="shared" si="7"/>
        <v>2447.6692750000002</v>
      </c>
      <c r="Y11" s="269">
        <f>Y8-Y10</f>
        <v>3506.1116489999999</v>
      </c>
      <c r="Z11" s="269">
        <f>Z8-Z10</f>
        <v>5191.0235149999999</v>
      </c>
      <c r="AA11" s="269">
        <f>AA8-AA10</f>
        <v>5622.5527610000008</v>
      </c>
      <c r="AB11" s="92">
        <f t="shared" si="7"/>
        <v>6200.0793609999992</v>
      </c>
      <c r="AC11" s="92">
        <f t="shared" si="7"/>
        <v>4964.9464869999993</v>
      </c>
      <c r="AD11" s="92">
        <f t="shared" si="7"/>
        <v>6744.8333950000006</v>
      </c>
      <c r="AE11" s="92">
        <f t="shared" si="7"/>
        <v>9453.6721340000004</v>
      </c>
      <c r="AF11" s="269">
        <f t="shared" si="7"/>
        <v>9950.5188890000009</v>
      </c>
      <c r="AG11" s="269">
        <f t="shared" si="7"/>
        <v>8125.7890072999999</v>
      </c>
      <c r="AH11" s="270">
        <f t="shared" si="7"/>
        <v>10667.710166000001</v>
      </c>
      <c r="AI11" s="267" t="s">
        <v>148</v>
      </c>
      <c r="AJ11" s="271">
        <f t="shared" si="7"/>
        <v>11471.682236999999</v>
      </c>
      <c r="AK11" s="92">
        <f>AK8-AK10</f>
        <v>10870.888673999998</v>
      </c>
      <c r="AL11" s="269">
        <f t="shared" ref="AL11:AY11" si="8">AL8-AL10</f>
        <v>14195.343690999998</v>
      </c>
      <c r="AM11" s="269">
        <f t="shared" si="8"/>
        <v>17221.298999999999</v>
      </c>
      <c r="AN11" s="269">
        <f t="shared" si="8"/>
        <v>16947.536</v>
      </c>
      <c r="AO11" s="269">
        <f t="shared" si="8"/>
        <v>13956.715</v>
      </c>
      <c r="AP11" s="269">
        <f t="shared" si="8"/>
        <v>11547.799000000001</v>
      </c>
      <c r="AQ11" s="269">
        <f t="shared" si="8"/>
        <v>6209.3820000000014</v>
      </c>
      <c r="AR11" s="269">
        <f>AR8-AR10</f>
        <v>7925.405999999999</v>
      </c>
      <c r="AS11" s="269">
        <f t="shared" si="8"/>
        <v>2853.8060000000005</v>
      </c>
      <c r="AT11" s="269">
        <f t="shared" si="8"/>
        <v>7137.1539999999986</v>
      </c>
      <c r="AU11" s="269">
        <f t="shared" si="8"/>
        <v>7715.7847408999987</v>
      </c>
      <c r="AV11" s="269">
        <f t="shared" si="8"/>
        <v>12523.927434999998</v>
      </c>
      <c r="AW11" s="269">
        <f t="shared" si="8"/>
        <v>11314.141221000002</v>
      </c>
      <c r="AX11" s="269">
        <f t="shared" si="8"/>
        <v>12378.719705000003</v>
      </c>
      <c r="AY11" s="269">
        <f t="shared" si="8"/>
        <v>12634.183789000002</v>
      </c>
      <c r="AZ11" s="269">
        <f t="shared" si="7"/>
        <v>13014.566443000003</v>
      </c>
      <c r="BA11" s="269">
        <f t="shared" si="7"/>
        <v>10758.487680999999</v>
      </c>
      <c r="BB11" s="269">
        <f t="shared" si="7"/>
        <v>8645.3242339999997</v>
      </c>
      <c r="BC11" s="269">
        <f t="shared" si="7"/>
        <v>8004.9535860000033</v>
      </c>
      <c r="BD11" s="92">
        <f t="shared" si="7"/>
        <v>8487.1880719999972</v>
      </c>
      <c r="BE11" s="269">
        <f>BE8-BE10-1</f>
        <v>10094.822094000003</v>
      </c>
      <c r="BF11" s="92">
        <f t="shared" ref="BF11:BM11" si="9">BF8-BF10</f>
        <v>11669.501904999997</v>
      </c>
      <c r="BG11" s="269">
        <f t="shared" si="9"/>
        <v>11779</v>
      </c>
      <c r="BH11" s="92">
        <f t="shared" si="9"/>
        <v>13130.378388999998</v>
      </c>
      <c r="BI11" s="269">
        <f t="shared" si="9"/>
        <v>8649</v>
      </c>
      <c r="BJ11" s="92">
        <f t="shared" si="9"/>
        <v>9848.9183809999995</v>
      </c>
      <c r="BK11" s="269">
        <f t="shared" si="9"/>
        <v>-6438</v>
      </c>
      <c r="BL11" s="92">
        <f t="shared" si="9"/>
        <v>-4769.3670809999967</v>
      </c>
      <c r="BM11" s="269">
        <f t="shared" si="9"/>
        <v>5320</v>
      </c>
      <c r="BN11" s="92">
        <f>BN8-BN10-1</f>
        <v>7467</v>
      </c>
      <c r="BO11" s="272">
        <f>BO8-BO10-1</f>
        <v>7581</v>
      </c>
      <c r="BP11" s="270">
        <f>BP8-BP10-1</f>
        <v>9297</v>
      </c>
      <c r="BQ11" s="267" t="s">
        <v>148</v>
      </c>
      <c r="BR11" s="271">
        <f>BR8-BR10</f>
        <v>6572</v>
      </c>
      <c r="BS11" s="92">
        <f>BS8-BS10</f>
        <v>7875</v>
      </c>
      <c r="BT11" s="269">
        <f>BT8-BT10-1</f>
        <v>498</v>
      </c>
      <c r="BU11" s="92">
        <f>BU8-BU10-1</f>
        <v>2070</v>
      </c>
      <c r="BV11" s="269">
        <f>BV8-BV10</f>
        <v>-5425</v>
      </c>
      <c r="BW11" s="92">
        <f>BW8-BW10+1</f>
        <v>-4372</v>
      </c>
      <c r="BX11" s="272">
        <f>BX8-BX10-1</f>
        <v>4845</v>
      </c>
      <c r="BY11" s="92">
        <f>BY8-BY10-1</f>
        <v>4968</v>
      </c>
      <c r="BZ11" s="269">
        <f>BZ8-BZ10-1</f>
        <v>4184</v>
      </c>
      <c r="CA11" s="92">
        <f>CA8-CA10-1</f>
        <v>2683</v>
      </c>
      <c r="CB11" s="272">
        <f>CB8-CB10</f>
        <v>2584</v>
      </c>
      <c r="CC11" s="92">
        <f>CC8-CC10</f>
        <v>1918</v>
      </c>
      <c r="CD11" s="269">
        <f>CD8-CD10-1</f>
        <v>4161</v>
      </c>
      <c r="CE11" s="92">
        <f>CE8-CE10</f>
        <v>5299</v>
      </c>
      <c r="CF11" s="272">
        <f>CF8-CF10</f>
        <v>-8665</v>
      </c>
      <c r="CG11" s="92">
        <f>CG8-CG10</f>
        <v>-7051</v>
      </c>
      <c r="CH11" s="272">
        <f>CH8-CH10-1</f>
        <v>5264</v>
      </c>
      <c r="CI11" s="92">
        <f>CI8-CI10-1</f>
        <v>7853</v>
      </c>
      <c r="CJ11" s="269">
        <f>CJ8-CJ10-1</f>
        <v>8179</v>
      </c>
      <c r="CK11" s="92">
        <f>CK8-CK10-1</f>
        <v>10978</v>
      </c>
      <c r="CL11" s="92">
        <f>CL8-CL10-1</f>
        <v>15609</v>
      </c>
      <c r="CM11" s="92">
        <f t="shared" ref="CM11" si="10">CM8-CM10</f>
        <v>18703</v>
      </c>
      <c r="CN11" s="269">
        <f>CN8-CN10</f>
        <v>17541.004538199995</v>
      </c>
      <c r="CO11" s="92">
        <f>CO8-CO10</f>
        <v>23103.889358999997</v>
      </c>
      <c r="CP11" s="269">
        <f>CP8-CP10</f>
        <v>27878.032602999996</v>
      </c>
      <c r="CQ11" s="269">
        <f>CQ8-CQ10</f>
        <v>35386.577474000005</v>
      </c>
      <c r="CR11" s="269">
        <f>CR8-CR10</f>
        <v>29820</v>
      </c>
      <c r="CS11" s="269">
        <f>CS8-CS10-1</f>
        <v>35944</v>
      </c>
      <c r="CT11" s="269">
        <f>CT8-CT10</f>
        <v>28571</v>
      </c>
      <c r="CU11" s="269">
        <f>CU8-CU10</f>
        <v>34045</v>
      </c>
      <c r="CV11" s="269">
        <f>CV8-CV10-1</f>
        <v>29722</v>
      </c>
      <c r="CW11" s="269">
        <f>CW8-CW10-1</f>
        <v>46343</v>
      </c>
      <c r="CX11" s="269">
        <f>CX8-CX10</f>
        <v>27320</v>
      </c>
      <c r="CY11" s="270">
        <f>CY8-CY10-1</f>
        <v>37489</v>
      </c>
      <c r="DD11" s="244"/>
      <c r="DE11" s="245"/>
      <c r="DF11" s="245"/>
      <c r="DG11" s="642" t="s">
        <v>521</v>
      </c>
      <c r="DH11" s="408" t="s">
        <v>519</v>
      </c>
      <c r="DI11" s="254" t="s">
        <v>518</v>
      </c>
      <c r="DJ11" s="254" t="s">
        <v>516</v>
      </c>
      <c r="DK11" s="254" t="s">
        <v>517</v>
      </c>
      <c r="DL11" s="254" t="s">
        <v>501</v>
      </c>
      <c r="DM11" s="254" t="s">
        <v>497</v>
      </c>
      <c r="DN11" s="254" t="s">
        <v>504</v>
      </c>
      <c r="DO11" s="254" t="s">
        <v>505</v>
      </c>
      <c r="DP11" s="254" t="s">
        <v>503</v>
      </c>
      <c r="DQ11" s="255" t="s">
        <v>515</v>
      </c>
    </row>
    <row r="12" spans="1:137" ht="23.1" customHeight="1" thickBot="1">
      <c r="A12" s="274" t="s">
        <v>149</v>
      </c>
      <c r="B12" s="275" t="s">
        <v>206</v>
      </c>
      <c r="C12" s="276">
        <f>C11/C7</f>
        <v>3.6268516510288076E-3</v>
      </c>
      <c r="D12" s="276">
        <f t="shared" ref="D12:BP12" si="11">D11/D7</f>
        <v>0.33688154878914389</v>
      </c>
      <c r="E12" s="276">
        <f t="shared" si="11"/>
        <v>2.0315156171767733E-2</v>
      </c>
      <c r="F12" s="276">
        <f t="shared" si="11"/>
        <v>3.7234287464988622E-2</v>
      </c>
      <c r="G12" s="276">
        <f t="shared" si="11"/>
        <v>3.9518550356649529E-2</v>
      </c>
      <c r="H12" s="276">
        <f t="shared" si="11"/>
        <v>7.3621946940477141E-3</v>
      </c>
      <c r="I12" s="276">
        <f t="shared" si="11"/>
        <v>3.8454724120191415E-2</v>
      </c>
      <c r="J12" s="276">
        <f t="shared" si="11"/>
        <v>5.1972069636569251E-2</v>
      </c>
      <c r="K12" s="276">
        <f t="shared" si="11"/>
        <v>6.8706451910411262E-2</v>
      </c>
      <c r="L12" s="276">
        <f t="shared" si="11"/>
        <v>8.2801557954303717E-2</v>
      </c>
      <c r="M12" s="276">
        <f t="shared" si="11"/>
        <v>6.8197316746671177E-2</v>
      </c>
      <c r="N12" s="276">
        <f t="shared" si="11"/>
        <v>9.2891556153977164E-2</v>
      </c>
      <c r="O12" s="283">
        <f>O11/O7</f>
        <v>8.0263715816606199E-2</v>
      </c>
      <c r="P12" s="276">
        <f t="shared" si="11"/>
        <v>0.14000622359013473</v>
      </c>
      <c r="Q12" s="276">
        <f t="shared" si="11"/>
        <v>9.3623610302817281E-2</v>
      </c>
      <c r="R12" s="276">
        <f t="shared" si="11"/>
        <v>8.5056278893697643E-2</v>
      </c>
      <c r="S12" s="276">
        <f t="shared" si="11"/>
        <v>8.6691900560220053E-2</v>
      </c>
      <c r="T12" s="276">
        <f t="shared" si="11"/>
        <v>8.1214027502429911E-2</v>
      </c>
      <c r="U12" s="276">
        <f t="shared" si="11"/>
        <v>7.5743531333171604E-2</v>
      </c>
      <c r="V12" s="276">
        <f t="shared" si="11"/>
        <v>6.865139629564683E-2</v>
      </c>
      <c r="W12" s="276">
        <f t="shared" si="11"/>
        <v>5.6190273754447601E-2</v>
      </c>
      <c r="X12" s="276">
        <f t="shared" si="11"/>
        <v>5.473724841763182E-2</v>
      </c>
      <c r="Y12" s="276">
        <f t="shared" si="11"/>
        <v>6.3901274212364023E-2</v>
      </c>
      <c r="Z12" s="276">
        <f t="shared" si="11"/>
        <v>7.5478316509900292E-2</v>
      </c>
      <c r="AA12" s="276">
        <f t="shared" si="11"/>
        <v>6.9633204213646327E-2</v>
      </c>
      <c r="AB12" s="276">
        <f t="shared" si="11"/>
        <v>6.8713812398049828E-2</v>
      </c>
      <c r="AC12" s="276">
        <f t="shared" si="11"/>
        <v>4.4375700808562762E-2</v>
      </c>
      <c r="AD12" s="277">
        <f t="shared" si="11"/>
        <v>4.3160233910611752E-2</v>
      </c>
      <c r="AE12" s="276">
        <f t="shared" si="11"/>
        <v>6.459185820771518E-2</v>
      </c>
      <c r="AF12" s="276">
        <f t="shared" si="11"/>
        <v>6.9283778883811334E-2</v>
      </c>
      <c r="AG12" s="276">
        <f t="shared" si="11"/>
        <v>5.205849052355558E-2</v>
      </c>
      <c r="AH12" s="278">
        <f t="shared" si="11"/>
        <v>6.6050255798468294E-2</v>
      </c>
      <c r="AI12" s="274" t="s">
        <v>149</v>
      </c>
      <c r="AJ12" s="279">
        <f t="shared" si="11"/>
        <v>5.2492116855965359E-2</v>
      </c>
      <c r="AK12" s="277">
        <f t="shared" si="11"/>
        <v>4.5256928093757851E-2</v>
      </c>
      <c r="AL12" s="276">
        <f t="shared" si="11"/>
        <v>5.666025187024791E-2</v>
      </c>
      <c r="AM12" s="276">
        <f t="shared" si="11"/>
        <v>5.8350041012715501E-2</v>
      </c>
      <c r="AN12" s="276">
        <f t="shared" si="11"/>
        <v>5.6671547113965756E-2</v>
      </c>
      <c r="AO12" s="276">
        <f t="shared" si="11"/>
        <v>4.4420337874730098E-2</v>
      </c>
      <c r="AP12" s="276">
        <f t="shared" si="11"/>
        <v>3.4967262632583325E-2</v>
      </c>
      <c r="AQ12" s="276">
        <f t="shared" si="11"/>
        <v>1.6861707609256617E-2</v>
      </c>
      <c r="AR12" s="276">
        <f t="shared" si="11"/>
        <v>2.1233493120959193E-2</v>
      </c>
      <c r="AS12" s="276">
        <f t="shared" si="11"/>
        <v>2.2587287716310345E-2</v>
      </c>
      <c r="AT12" s="276">
        <f t="shared" si="11"/>
        <v>1.7974611128799906E-2</v>
      </c>
      <c r="AU12" s="276">
        <f t="shared" si="11"/>
        <v>1.8258478691931659E-2</v>
      </c>
      <c r="AV12" s="276">
        <f t="shared" si="11"/>
        <v>2.6368647197426858E-2</v>
      </c>
      <c r="AW12" s="276">
        <f t="shared" si="11"/>
        <v>2.2578253340573187E-2</v>
      </c>
      <c r="AX12" s="276">
        <f t="shared" si="11"/>
        <v>2.470627835266917E-2</v>
      </c>
      <c r="AY12" s="276">
        <f t="shared" si="11"/>
        <v>2.3712695037422921E-2</v>
      </c>
      <c r="AZ12" s="276">
        <f t="shared" si="11"/>
        <v>2.4560357496353987E-2</v>
      </c>
      <c r="BA12" s="276">
        <f t="shared" si="11"/>
        <v>2.0421386801096831E-2</v>
      </c>
      <c r="BB12" s="276">
        <f t="shared" si="11"/>
        <v>1.7517756459899538E-2</v>
      </c>
      <c r="BC12" s="276">
        <f t="shared" si="11"/>
        <v>1.5842558757869003E-2</v>
      </c>
      <c r="BD12" s="276">
        <f t="shared" si="11"/>
        <v>1.8027092842647842E-2</v>
      </c>
      <c r="BE12" s="276">
        <f t="shared" si="11"/>
        <v>2.4285116035636548E-2</v>
      </c>
      <c r="BF12" s="276">
        <f t="shared" si="11"/>
        <v>2.4323553160557291E-2</v>
      </c>
      <c r="BG12" s="276">
        <f t="shared" si="11"/>
        <v>2.8788741619883026E-2</v>
      </c>
      <c r="BH12" s="276">
        <f t="shared" si="11"/>
        <v>2.8277466885302943E-2</v>
      </c>
      <c r="BI12" s="276">
        <f t="shared" si="11"/>
        <v>2.2191034298733554E-2</v>
      </c>
      <c r="BJ12" s="277">
        <f t="shared" si="11"/>
        <v>2.2396313164417255E-2</v>
      </c>
      <c r="BK12" s="284">
        <f t="shared" si="11"/>
        <v>-1.5585622880217299E-2</v>
      </c>
      <c r="BL12" s="285">
        <f t="shared" si="11"/>
        <v>-1.0394040102720067E-2</v>
      </c>
      <c r="BM12" s="276">
        <f t="shared" si="11"/>
        <v>1.2292534595859819E-2</v>
      </c>
      <c r="BN12" s="276">
        <f t="shared" si="11"/>
        <v>1.5417556233714212E-2</v>
      </c>
      <c r="BO12" s="276">
        <f t="shared" si="11"/>
        <v>1.8127993534085937E-2</v>
      </c>
      <c r="BP12" s="278">
        <f t="shared" si="11"/>
        <v>2.0046401911275751E-2</v>
      </c>
      <c r="BQ12" s="274" t="s">
        <v>149</v>
      </c>
      <c r="BR12" s="279">
        <f t="shared" ref="BR12:CQ12" si="12">BR11/BR7</f>
        <v>1.552753940951877E-2</v>
      </c>
      <c r="BS12" s="276">
        <f t="shared" si="12"/>
        <v>1.6686266408161968E-2</v>
      </c>
      <c r="BT12" s="276">
        <f t="shared" si="12"/>
        <v>1.1711529506939905E-3</v>
      </c>
      <c r="BU12" s="277">
        <f t="shared" si="12"/>
        <v>4.3302721586511309E-3</v>
      </c>
      <c r="BV12" s="284">
        <f t="shared" si="12"/>
        <v>-1.2985893848396572E-2</v>
      </c>
      <c r="BW12" s="284">
        <f t="shared" si="12"/>
        <v>-9.156500340331955E-3</v>
      </c>
      <c r="BX12" s="276">
        <f t="shared" si="12"/>
        <v>1.4008153352415648E-2</v>
      </c>
      <c r="BY12" s="276">
        <f t="shared" si="12"/>
        <v>1.2658550381947806E-2</v>
      </c>
      <c r="BZ12" s="276">
        <f t="shared" si="12"/>
        <v>1.4513113486026272E-2</v>
      </c>
      <c r="CA12" s="276">
        <f t="shared" si="12"/>
        <v>8.1643210346139215E-3</v>
      </c>
      <c r="CB12" s="276">
        <f t="shared" si="12"/>
        <v>1.043243745180448E-2</v>
      </c>
      <c r="CC12" s="276">
        <f t="shared" si="12"/>
        <v>6.5710360516227171E-3</v>
      </c>
      <c r="CD12" s="276">
        <f t="shared" si="12"/>
        <v>1.6064830722782253E-2</v>
      </c>
      <c r="CE12" s="276">
        <f t="shared" si="12"/>
        <v>1.6912043966846139E-2</v>
      </c>
      <c r="CF12" s="284">
        <f t="shared" si="12"/>
        <v>-2.8768546831475745E-2</v>
      </c>
      <c r="CG12" s="284">
        <f t="shared" si="12"/>
        <v>-1.9100274408991296E-2</v>
      </c>
      <c r="CH12" s="276">
        <f t="shared" si="12"/>
        <v>1.6253685949392492E-2</v>
      </c>
      <c r="CI12" s="276">
        <f t="shared" si="12"/>
        <v>1.9852264568776354E-2</v>
      </c>
      <c r="CJ12" s="276">
        <f t="shared" si="12"/>
        <v>2.4690649914417419E-2</v>
      </c>
      <c r="CK12" s="277">
        <f t="shared" si="12"/>
        <v>2.7081030944111146E-2</v>
      </c>
      <c r="CL12" s="286">
        <f t="shared" si="12"/>
        <v>4.1887725117338764E-2</v>
      </c>
      <c r="CM12" s="286">
        <f t="shared" si="12"/>
        <v>4.2341014617758188E-2</v>
      </c>
      <c r="CN12" s="276">
        <f t="shared" ref="CN12:CO12" si="13">CN11/CN7</f>
        <v>5.1880646503704393E-2</v>
      </c>
      <c r="CO12" s="277">
        <f t="shared" si="13"/>
        <v>5.4672490806382722E-2</v>
      </c>
      <c r="CP12" s="276">
        <f t="shared" si="12"/>
        <v>7.4493938826320563E-2</v>
      </c>
      <c r="CQ12" s="276">
        <f t="shared" si="12"/>
        <v>7.5656811952878697E-2</v>
      </c>
      <c r="CR12" s="276">
        <f t="shared" ref="CR12:CS12" si="14">CR11/CR7</f>
        <v>7.4313497294859115E-2</v>
      </c>
      <c r="CS12" s="276">
        <f t="shared" si="14"/>
        <v>7.304399425304875E-2</v>
      </c>
      <c r="CT12" s="276">
        <f t="shared" ref="CT12:CU12" si="15">CT11/CT7</f>
        <v>7.3776164186889634E-2</v>
      </c>
      <c r="CU12" s="276">
        <f t="shared" si="15"/>
        <v>6.9784936538650755E-2</v>
      </c>
      <c r="CV12" s="276">
        <f t="shared" ref="CV12:CW12" si="16">CV11/CV7</f>
        <v>8.1188573176794523E-2</v>
      </c>
      <c r="CW12" s="276">
        <f t="shared" si="16"/>
        <v>6.8346559812641677E-2</v>
      </c>
      <c r="CX12" s="276">
        <f t="shared" ref="CX12:CY12" si="17">CX11/CX7</f>
        <v>7.4926499627013032E-2</v>
      </c>
      <c r="CY12" s="278">
        <f t="shared" si="17"/>
        <v>5.4895799165924748E-2</v>
      </c>
      <c r="DD12" s="244"/>
      <c r="DE12" s="245"/>
      <c r="DF12" s="245"/>
      <c r="DG12" s="643"/>
      <c r="DH12" s="397">
        <v>682912</v>
      </c>
      <c r="DI12" s="265">
        <v>678059</v>
      </c>
      <c r="DJ12" s="265">
        <v>492087</v>
      </c>
      <c r="DK12" s="265">
        <v>487856</v>
      </c>
      <c r="DL12" s="265">
        <v>484318</v>
      </c>
      <c r="DM12" s="265">
        <v>479761</v>
      </c>
      <c r="DN12" s="265">
        <v>478030</v>
      </c>
      <c r="DO12" s="265">
        <v>477475</v>
      </c>
      <c r="DP12" s="265">
        <v>471945</v>
      </c>
      <c r="DQ12" s="266">
        <v>467725</v>
      </c>
    </row>
    <row r="13" spans="1:137" ht="23.1" customHeight="1" thickBot="1">
      <c r="A13" s="280" t="s">
        <v>150</v>
      </c>
      <c r="B13" s="281" t="s">
        <v>206</v>
      </c>
      <c r="C13" s="258">
        <v>0</v>
      </c>
      <c r="D13" s="258">
        <v>6.0890430000000002E-2</v>
      </c>
      <c r="E13" s="258">
        <v>0.29398200000000002</v>
      </c>
      <c r="F13" s="258">
        <v>0.31079099999999998</v>
      </c>
      <c r="G13" s="258">
        <v>1.3154052700000001</v>
      </c>
      <c r="H13" s="258">
        <v>4.5109640000000004</v>
      </c>
      <c r="I13" s="258">
        <v>3.9360010000000001</v>
      </c>
      <c r="J13" s="258">
        <v>6.0666079999999996</v>
      </c>
      <c r="K13" s="258">
        <v>29.699960999999998</v>
      </c>
      <c r="L13" s="258">
        <v>26.488126000000001</v>
      </c>
      <c r="M13" s="258">
        <v>70.210966999999997</v>
      </c>
      <c r="N13" s="258">
        <v>72.683054999999996</v>
      </c>
      <c r="O13" s="258">
        <v>80.485916000000003</v>
      </c>
      <c r="P13" s="258">
        <v>194.37060199999999</v>
      </c>
      <c r="Q13" s="258">
        <v>243.780193</v>
      </c>
      <c r="R13" s="258">
        <v>202.56438900000001</v>
      </c>
      <c r="S13" s="258">
        <v>315.91101900000001</v>
      </c>
      <c r="T13" s="258">
        <v>312.08355899999998</v>
      </c>
      <c r="U13" s="258">
        <v>375.99870399999998</v>
      </c>
      <c r="V13" s="258">
        <v>350.73643600000003</v>
      </c>
      <c r="W13" s="258">
        <v>385.86698799999999</v>
      </c>
      <c r="X13" s="258">
        <v>482.71508599999999</v>
      </c>
      <c r="Y13" s="258">
        <v>638.59671800000001</v>
      </c>
      <c r="Z13" s="258">
        <v>957.71216300000003</v>
      </c>
      <c r="AA13" s="258">
        <v>1290.494991</v>
      </c>
      <c r="AB13" s="259">
        <v>1666.7003850000001</v>
      </c>
      <c r="AC13" s="259">
        <v>2602.6094670000002</v>
      </c>
      <c r="AD13" s="259">
        <v>2098.3851970000001</v>
      </c>
      <c r="AE13" s="258">
        <v>2806.874566</v>
      </c>
      <c r="AF13" s="258">
        <v>3061.8864159999998</v>
      </c>
      <c r="AG13" s="258">
        <v>3244.3423899999998</v>
      </c>
      <c r="AH13" s="260">
        <v>3742.7273</v>
      </c>
      <c r="AI13" s="280" t="s">
        <v>150</v>
      </c>
      <c r="AJ13" s="261">
        <v>3743.8710500000002</v>
      </c>
      <c r="AK13" s="259">
        <v>3974.6830190000001</v>
      </c>
      <c r="AL13" s="258">
        <v>4539.5036790000004</v>
      </c>
      <c r="AM13" s="258">
        <v>5084.4849999999997</v>
      </c>
      <c r="AN13" s="258">
        <v>6127.7560000000003</v>
      </c>
      <c r="AO13" s="258">
        <v>7214.8620000000001</v>
      </c>
      <c r="AP13" s="258">
        <v>6727.5349999999999</v>
      </c>
      <c r="AQ13" s="258">
        <v>7083.5140000000001</v>
      </c>
      <c r="AR13" s="258">
        <v>6512.7070000000003</v>
      </c>
      <c r="AS13" s="258">
        <v>2273.6460000000002</v>
      </c>
      <c r="AT13" s="258">
        <v>7378.5879999999997</v>
      </c>
      <c r="AU13" s="258">
        <v>8016.984547</v>
      </c>
      <c r="AV13" s="258">
        <v>6702.1615780000002</v>
      </c>
      <c r="AW13" s="258">
        <v>8879.5544160000009</v>
      </c>
      <c r="AX13" s="258">
        <v>6102.1187460000001</v>
      </c>
      <c r="AY13" s="258">
        <v>6114.0627039999999</v>
      </c>
      <c r="AZ13" s="258">
        <v>4951.0994799999999</v>
      </c>
      <c r="BA13" s="258">
        <v>6250.4764720000003</v>
      </c>
      <c r="BB13" s="258">
        <v>5056.2723999999998</v>
      </c>
      <c r="BC13" s="258">
        <v>5584.6761710000001</v>
      </c>
      <c r="BD13" s="259">
        <v>3593.4170979999999</v>
      </c>
      <c r="BE13" s="258">
        <v>3554.6655420000002</v>
      </c>
      <c r="BF13" s="259">
        <v>3394.143626</v>
      </c>
      <c r="BG13" s="258">
        <v>2628</v>
      </c>
      <c r="BH13" s="259">
        <v>2356.0164629999999</v>
      </c>
      <c r="BI13" s="258">
        <v>2526</v>
      </c>
      <c r="BJ13" s="259">
        <v>2249.1403650000002</v>
      </c>
      <c r="BK13" s="258">
        <v>2228</v>
      </c>
      <c r="BL13" s="259">
        <v>2028.0491300000001</v>
      </c>
      <c r="BM13" s="258">
        <v>2159</v>
      </c>
      <c r="BN13" s="259">
        <v>1851</v>
      </c>
      <c r="BO13" s="262">
        <v>2424</v>
      </c>
      <c r="BP13" s="260">
        <v>1946</v>
      </c>
      <c r="BQ13" s="280" t="s">
        <v>150</v>
      </c>
      <c r="BR13" s="261">
        <v>2685</v>
      </c>
      <c r="BS13" s="259">
        <v>2274</v>
      </c>
      <c r="BT13" s="258">
        <v>2555</v>
      </c>
      <c r="BU13" s="259">
        <v>2147</v>
      </c>
      <c r="BV13" s="258">
        <v>4671</v>
      </c>
      <c r="BW13" s="259">
        <v>3391</v>
      </c>
      <c r="BX13" s="262">
        <v>2642</v>
      </c>
      <c r="BY13" s="259">
        <v>2339</v>
      </c>
      <c r="BZ13" s="258">
        <v>2578</v>
      </c>
      <c r="CA13" s="259">
        <v>2244</v>
      </c>
      <c r="CB13" s="262">
        <v>1914</v>
      </c>
      <c r="CC13" s="259">
        <v>1562</v>
      </c>
      <c r="CD13" s="258">
        <v>1609</v>
      </c>
      <c r="CE13" s="259">
        <v>1373</v>
      </c>
      <c r="CF13" s="262">
        <v>2663</v>
      </c>
      <c r="CG13" s="259">
        <v>2530</v>
      </c>
      <c r="CH13" s="262">
        <v>2247</v>
      </c>
      <c r="CI13" s="259">
        <v>1830</v>
      </c>
      <c r="CJ13" s="258">
        <v>2615</v>
      </c>
      <c r="CK13" s="259">
        <v>2041</v>
      </c>
      <c r="CL13" s="258">
        <v>2639</v>
      </c>
      <c r="CM13" s="259">
        <v>1817</v>
      </c>
      <c r="CN13" s="258">
        <v>3405.3919040000001</v>
      </c>
      <c r="CO13" s="259">
        <f>436.142028+1186.581995+4.164225+437.742833</f>
        <v>2064.631081</v>
      </c>
      <c r="CP13" s="258">
        <v>2990.9370560000002</v>
      </c>
      <c r="CQ13" s="258">
        <f>4948.178699-3212.420863</f>
        <v>1735.7578360000002</v>
      </c>
      <c r="CR13" s="258">
        <v>3391</v>
      </c>
      <c r="CS13" s="258">
        <f>5344-3396</f>
        <v>1948</v>
      </c>
      <c r="CT13" s="258">
        <v>3937</v>
      </c>
      <c r="CU13" s="258">
        <f>7131-4845</f>
        <v>2286</v>
      </c>
      <c r="CV13" s="258">
        <v>18022</v>
      </c>
      <c r="CW13" s="258">
        <f>3909-1096</f>
        <v>2813</v>
      </c>
      <c r="CX13" s="258">
        <v>9289</v>
      </c>
      <c r="CY13" s="260">
        <f>4078-652</f>
        <v>3426</v>
      </c>
      <c r="DD13" s="273"/>
      <c r="DG13" s="287"/>
      <c r="DH13" s="287"/>
      <c r="DI13" s="287"/>
      <c r="DJ13" s="287"/>
      <c r="DK13" s="287"/>
      <c r="DL13" s="287"/>
      <c r="DM13" s="287"/>
      <c r="DN13" s="287"/>
      <c r="DO13" s="287"/>
      <c r="DP13" s="287"/>
      <c r="DQ13" s="287"/>
    </row>
    <row r="14" spans="1:137" ht="23.1" customHeight="1">
      <c r="A14" s="280" t="s">
        <v>530</v>
      </c>
      <c r="B14" s="257" t="s">
        <v>206</v>
      </c>
      <c r="C14" s="288" t="s">
        <v>206</v>
      </c>
      <c r="D14" s="288" t="s">
        <v>206</v>
      </c>
      <c r="E14" s="288" t="s">
        <v>206</v>
      </c>
      <c r="F14" s="288" t="s">
        <v>206</v>
      </c>
      <c r="G14" s="288" t="s">
        <v>206</v>
      </c>
      <c r="H14" s="288" t="s">
        <v>206</v>
      </c>
      <c r="I14" s="288" t="s">
        <v>206</v>
      </c>
      <c r="J14" s="288" t="s">
        <v>206</v>
      </c>
      <c r="K14" s="288" t="s">
        <v>206</v>
      </c>
      <c r="L14" s="288" t="s">
        <v>206</v>
      </c>
      <c r="M14" s="288" t="s">
        <v>206</v>
      </c>
      <c r="N14" s="288" t="s">
        <v>206</v>
      </c>
      <c r="O14" s="288" t="s">
        <v>206</v>
      </c>
      <c r="P14" s="288" t="s">
        <v>206</v>
      </c>
      <c r="Q14" s="288" t="s">
        <v>206</v>
      </c>
      <c r="R14" s="288" t="s">
        <v>206</v>
      </c>
      <c r="S14" s="288" t="s">
        <v>206</v>
      </c>
      <c r="T14" s="288" t="s">
        <v>206</v>
      </c>
      <c r="U14" s="288" t="s">
        <v>206</v>
      </c>
      <c r="V14" s="288" t="s">
        <v>206</v>
      </c>
      <c r="W14" s="288" t="s">
        <v>206</v>
      </c>
      <c r="X14" s="288" t="s">
        <v>206</v>
      </c>
      <c r="Y14" s="288" t="s">
        <v>206</v>
      </c>
      <c r="Z14" s="288" t="s">
        <v>206</v>
      </c>
      <c r="AA14" s="288" t="s">
        <v>206</v>
      </c>
      <c r="AB14" s="288" t="s">
        <v>206</v>
      </c>
      <c r="AC14" s="288" t="s">
        <v>206</v>
      </c>
      <c r="AD14" s="288" t="s">
        <v>206</v>
      </c>
      <c r="AE14" s="288" t="s">
        <v>206</v>
      </c>
      <c r="AF14" s="288" t="s">
        <v>206</v>
      </c>
      <c r="AG14" s="288" t="s">
        <v>206</v>
      </c>
      <c r="AH14" s="289" t="s">
        <v>206</v>
      </c>
      <c r="AI14" s="280" t="s">
        <v>530</v>
      </c>
      <c r="AJ14" s="257" t="s">
        <v>206</v>
      </c>
      <c r="AK14" s="288" t="s">
        <v>206</v>
      </c>
      <c r="AL14" s="288" t="s">
        <v>206</v>
      </c>
      <c r="AM14" s="288" t="s">
        <v>206</v>
      </c>
      <c r="AN14" s="288" t="s">
        <v>206</v>
      </c>
      <c r="AO14" s="288" t="s">
        <v>206</v>
      </c>
      <c r="AP14" s="288" t="s">
        <v>206</v>
      </c>
      <c r="AQ14" s="288" t="s">
        <v>206</v>
      </c>
      <c r="AR14" s="288" t="s">
        <v>206</v>
      </c>
      <c r="AS14" s="288" t="s">
        <v>206</v>
      </c>
      <c r="AT14" s="288" t="s">
        <v>206</v>
      </c>
      <c r="AU14" s="290" t="s">
        <v>206</v>
      </c>
      <c r="AV14" s="288" t="s">
        <v>206</v>
      </c>
      <c r="AW14" s="288" t="s">
        <v>206</v>
      </c>
      <c r="AX14" s="288" t="s">
        <v>206</v>
      </c>
      <c r="AY14" s="288" t="s">
        <v>206</v>
      </c>
      <c r="AZ14" s="288" t="s">
        <v>206</v>
      </c>
      <c r="BA14" s="288" t="s">
        <v>206</v>
      </c>
      <c r="BB14" s="288" t="s">
        <v>206</v>
      </c>
      <c r="BC14" s="288" t="s">
        <v>206</v>
      </c>
      <c r="BD14" s="288" t="s">
        <v>206</v>
      </c>
      <c r="BE14" s="291" t="s">
        <v>206</v>
      </c>
      <c r="BF14" s="259">
        <v>190.781823</v>
      </c>
      <c r="BG14" s="291" t="s">
        <v>206</v>
      </c>
      <c r="BH14" s="259">
        <v>863.33796900000004</v>
      </c>
      <c r="BI14" s="291" t="s">
        <v>206</v>
      </c>
      <c r="BJ14" s="259">
        <v>29.397670999999999</v>
      </c>
      <c r="BK14" s="291" t="s">
        <v>206</v>
      </c>
      <c r="BL14" s="259">
        <v>2287.0409129999998</v>
      </c>
      <c r="BM14" s="291" t="s">
        <v>206</v>
      </c>
      <c r="BN14" s="259">
        <v>370</v>
      </c>
      <c r="BO14" s="292" t="s">
        <v>206</v>
      </c>
      <c r="BP14" s="260">
        <v>238</v>
      </c>
      <c r="BQ14" s="280" t="s">
        <v>530</v>
      </c>
      <c r="BR14" s="281" t="s">
        <v>206</v>
      </c>
      <c r="BS14" s="259">
        <v>1558</v>
      </c>
      <c r="BT14" s="291" t="s">
        <v>206</v>
      </c>
      <c r="BU14" s="259">
        <v>818</v>
      </c>
      <c r="BV14" s="291" t="s">
        <v>206</v>
      </c>
      <c r="BW14" s="259">
        <v>1756</v>
      </c>
      <c r="BX14" s="292" t="s">
        <v>206</v>
      </c>
      <c r="BY14" s="259">
        <v>1087</v>
      </c>
      <c r="BZ14" s="291" t="s">
        <v>206</v>
      </c>
      <c r="CA14" s="259">
        <v>1704</v>
      </c>
      <c r="CB14" s="292" t="s">
        <v>206</v>
      </c>
      <c r="CC14" s="259">
        <v>1369</v>
      </c>
      <c r="CD14" s="291" t="s">
        <v>206</v>
      </c>
      <c r="CE14" s="259">
        <v>1893</v>
      </c>
      <c r="CF14" s="291" t="s">
        <v>206</v>
      </c>
      <c r="CG14" s="259">
        <v>2686</v>
      </c>
      <c r="CH14" s="291" t="s">
        <v>206</v>
      </c>
      <c r="CI14" s="259">
        <v>3521</v>
      </c>
      <c r="CJ14" s="291" t="s">
        <v>206</v>
      </c>
      <c r="CK14" s="259">
        <v>3927</v>
      </c>
      <c r="CL14" s="291" t="s">
        <v>206</v>
      </c>
      <c r="CM14" s="259">
        <v>4641</v>
      </c>
      <c r="CN14" s="291" t="s">
        <v>206</v>
      </c>
      <c r="CO14" s="259">
        <v>4952.453544</v>
      </c>
      <c r="CP14" s="291" t="s">
        <v>206</v>
      </c>
      <c r="CQ14" s="258">
        <v>3212.4208629999998</v>
      </c>
      <c r="CR14" s="291" t="s">
        <v>206</v>
      </c>
      <c r="CS14" s="258">
        <v>3396</v>
      </c>
      <c r="CT14" s="291" t="s">
        <v>206</v>
      </c>
      <c r="CU14" s="258">
        <v>4845</v>
      </c>
      <c r="CV14" s="291" t="s">
        <v>206</v>
      </c>
      <c r="CW14" s="258">
        <v>1096</v>
      </c>
      <c r="CX14" s="291" t="s">
        <v>206</v>
      </c>
      <c r="CY14" s="260">
        <v>652</v>
      </c>
      <c r="DD14" s="244" t="s">
        <v>527</v>
      </c>
      <c r="DE14" s="245"/>
      <c r="DF14" s="245"/>
      <c r="DG14" s="644" t="s">
        <v>520</v>
      </c>
      <c r="DH14" s="395" t="s">
        <v>519</v>
      </c>
      <c r="DI14" s="293" t="s">
        <v>518</v>
      </c>
      <c r="DJ14" s="293" t="s">
        <v>517</v>
      </c>
      <c r="DK14" s="293" t="s">
        <v>516</v>
      </c>
      <c r="DL14" s="254" t="s">
        <v>492</v>
      </c>
      <c r="DM14" s="254" t="s">
        <v>491</v>
      </c>
      <c r="DN14" s="254" t="s">
        <v>490</v>
      </c>
      <c r="DO14" s="254" t="s">
        <v>515</v>
      </c>
      <c r="DP14" s="254" t="s">
        <v>493</v>
      </c>
      <c r="DQ14" s="255" t="s">
        <v>494</v>
      </c>
    </row>
    <row r="15" spans="1:137" ht="23.1" customHeight="1" thickBot="1">
      <c r="A15" s="280" t="s">
        <v>155</v>
      </c>
      <c r="B15" s="281" t="s">
        <v>206</v>
      </c>
      <c r="C15" s="258">
        <v>0</v>
      </c>
      <c r="D15" s="258">
        <f>0.82332725+0.1101979</f>
        <v>0.93352514999999991</v>
      </c>
      <c r="E15" s="258">
        <v>9.7028000000000003E-2</v>
      </c>
      <c r="F15" s="258">
        <v>0.91717360000000003</v>
      </c>
      <c r="G15" s="258">
        <v>1.551698E-2</v>
      </c>
      <c r="H15" s="258">
        <v>5.7000000000000002E-3</v>
      </c>
      <c r="I15" s="258">
        <v>1.0138579999999999</v>
      </c>
      <c r="J15" s="258">
        <v>43.285673000000003</v>
      </c>
      <c r="K15" s="258">
        <v>37.236125999999999</v>
      </c>
      <c r="L15" s="258">
        <v>55.774022000000002</v>
      </c>
      <c r="M15" s="258">
        <v>74.951505999999995</v>
      </c>
      <c r="N15" s="258">
        <v>114.925915</v>
      </c>
      <c r="O15" s="258">
        <v>47.756354999999999</v>
      </c>
      <c r="P15" s="258">
        <v>56.453921999999999</v>
      </c>
      <c r="Q15" s="258">
        <v>215.19149200000001</v>
      </c>
      <c r="R15" s="258">
        <v>288.98453899999998</v>
      </c>
      <c r="S15" s="258">
        <v>340.05732399999999</v>
      </c>
      <c r="T15" s="258">
        <v>235.76939899999999</v>
      </c>
      <c r="U15" s="258">
        <v>276.35392000000002</v>
      </c>
      <c r="V15" s="258">
        <v>266.19983300000001</v>
      </c>
      <c r="W15" s="258">
        <v>338.88083899999998</v>
      </c>
      <c r="X15" s="258">
        <v>573.01492900000005</v>
      </c>
      <c r="Y15" s="258">
        <v>801.25990000000002</v>
      </c>
      <c r="Z15" s="258">
        <v>739.67586400000005</v>
      </c>
      <c r="AA15" s="258">
        <v>1156.6959039999999</v>
      </c>
      <c r="AB15" s="259">
        <v>1253.5503670000001</v>
      </c>
      <c r="AC15" s="259">
        <v>1582.129068</v>
      </c>
      <c r="AD15" s="259">
        <v>2324.0988090000001</v>
      </c>
      <c r="AE15" s="258">
        <v>2819.960587</v>
      </c>
      <c r="AF15" s="258">
        <v>1988.2316969999999</v>
      </c>
      <c r="AG15" s="258">
        <v>1815.4025099999999</v>
      </c>
      <c r="AH15" s="260">
        <v>2140.7337339999999</v>
      </c>
      <c r="AI15" s="280" t="s">
        <v>155</v>
      </c>
      <c r="AJ15" s="261">
        <v>1828.299925</v>
      </c>
      <c r="AK15" s="259">
        <v>1883.6188299999999</v>
      </c>
      <c r="AL15" s="258">
        <v>2034.646806</v>
      </c>
      <c r="AM15" s="258">
        <v>1612.0650000000001</v>
      </c>
      <c r="AN15" s="258">
        <v>3547.915</v>
      </c>
      <c r="AO15" s="258">
        <v>2151.7820000000002</v>
      </c>
      <c r="AP15" s="258">
        <v>2724.471</v>
      </c>
      <c r="AQ15" s="258">
        <v>2932.3739999999998</v>
      </c>
      <c r="AR15" s="258">
        <v>3083.0189999999998</v>
      </c>
      <c r="AS15" s="258">
        <v>848.49900000000002</v>
      </c>
      <c r="AT15" s="258">
        <v>2013.521</v>
      </c>
      <c r="AU15" s="258">
        <v>2122.1644150000002</v>
      </c>
      <c r="AV15" s="258">
        <v>3990.576145</v>
      </c>
      <c r="AW15" s="258">
        <v>5092.5789260000001</v>
      </c>
      <c r="AX15" s="258">
        <v>5865.8213260000002</v>
      </c>
      <c r="AY15" s="258">
        <v>5736.294116</v>
      </c>
      <c r="AZ15" s="258">
        <v>4894.8046480000003</v>
      </c>
      <c r="BA15" s="258">
        <v>5817.0736360000001</v>
      </c>
      <c r="BB15" s="258">
        <v>6017.8560230000003</v>
      </c>
      <c r="BC15" s="258">
        <v>5332.8376760000001</v>
      </c>
      <c r="BD15" s="259">
        <v>5721.0971909999998</v>
      </c>
      <c r="BE15" s="258">
        <v>4191.0915580000001</v>
      </c>
      <c r="BF15" s="259">
        <v>4610.3041670000002</v>
      </c>
      <c r="BG15" s="258">
        <v>2794</v>
      </c>
      <c r="BH15" s="259">
        <v>3151.9513000000002</v>
      </c>
      <c r="BI15" s="258">
        <v>2600</v>
      </c>
      <c r="BJ15" s="259">
        <v>2882.1388099999999</v>
      </c>
      <c r="BK15" s="258">
        <v>2498</v>
      </c>
      <c r="BL15" s="259">
        <v>2863.5119719999998</v>
      </c>
      <c r="BM15" s="258">
        <v>1916</v>
      </c>
      <c r="BN15" s="259">
        <v>2287</v>
      </c>
      <c r="BO15" s="262">
        <v>2014</v>
      </c>
      <c r="BP15" s="260">
        <v>2277</v>
      </c>
      <c r="BQ15" s="280" t="s">
        <v>155</v>
      </c>
      <c r="BR15" s="261">
        <v>2231</v>
      </c>
      <c r="BS15" s="259">
        <v>2462</v>
      </c>
      <c r="BT15" s="258">
        <v>2796</v>
      </c>
      <c r="BU15" s="259">
        <v>3056</v>
      </c>
      <c r="BV15" s="258">
        <v>2752</v>
      </c>
      <c r="BW15" s="259">
        <v>3086</v>
      </c>
      <c r="BX15" s="262">
        <v>4163</v>
      </c>
      <c r="BY15" s="259">
        <v>4482</v>
      </c>
      <c r="BZ15" s="258">
        <v>2617</v>
      </c>
      <c r="CA15" s="259">
        <v>3062</v>
      </c>
      <c r="CB15" s="262">
        <v>3146</v>
      </c>
      <c r="CC15" s="259">
        <v>3489</v>
      </c>
      <c r="CD15" s="258">
        <v>2887</v>
      </c>
      <c r="CE15" s="259">
        <v>3275</v>
      </c>
      <c r="CF15" s="262">
        <v>2034</v>
      </c>
      <c r="CG15" s="259">
        <v>2392</v>
      </c>
      <c r="CH15" s="262">
        <v>1771</v>
      </c>
      <c r="CI15" s="259">
        <v>1923</v>
      </c>
      <c r="CJ15" s="258">
        <v>1526</v>
      </c>
      <c r="CK15" s="259">
        <v>1669</v>
      </c>
      <c r="CL15" s="258">
        <v>1706</v>
      </c>
      <c r="CM15" s="259">
        <v>2170</v>
      </c>
      <c r="CN15" s="258">
        <v>1529.8559780000001</v>
      </c>
      <c r="CO15" s="259">
        <v>2757.688416</v>
      </c>
      <c r="CP15" s="258">
        <v>1447.020708</v>
      </c>
      <c r="CQ15" s="258">
        <v>3316.2386339999998</v>
      </c>
      <c r="CR15" s="258">
        <v>1043</v>
      </c>
      <c r="CS15" s="258">
        <v>2926</v>
      </c>
      <c r="CT15" s="258">
        <v>2706</v>
      </c>
      <c r="CU15" s="258">
        <v>4579</v>
      </c>
      <c r="CV15" s="258">
        <v>2503</v>
      </c>
      <c r="CW15" s="258">
        <v>4587</v>
      </c>
      <c r="CX15" s="258">
        <v>1415</v>
      </c>
      <c r="CY15" s="260">
        <v>3531</v>
      </c>
      <c r="DD15" s="244"/>
      <c r="DE15" s="245"/>
      <c r="DF15" s="245"/>
      <c r="DG15" s="645"/>
      <c r="DH15" s="396">
        <v>54136</v>
      </c>
      <c r="DI15" s="294">
        <v>53670</v>
      </c>
      <c r="DJ15" s="294">
        <v>53217</v>
      </c>
      <c r="DK15" s="294">
        <v>51447</v>
      </c>
      <c r="DL15" s="265">
        <v>50163</v>
      </c>
      <c r="DM15" s="265">
        <v>49089</v>
      </c>
      <c r="DN15" s="265">
        <v>46978</v>
      </c>
      <c r="DO15" s="265">
        <v>46963</v>
      </c>
      <c r="DP15" s="265">
        <v>46446</v>
      </c>
      <c r="DQ15" s="266">
        <v>43854</v>
      </c>
    </row>
    <row r="16" spans="1:137" ht="23.1" customHeight="1">
      <c r="A16" s="280" t="s">
        <v>531</v>
      </c>
      <c r="B16" s="257" t="s">
        <v>206</v>
      </c>
      <c r="C16" s="288" t="s">
        <v>206</v>
      </c>
      <c r="D16" s="288" t="s">
        <v>206</v>
      </c>
      <c r="E16" s="288" t="s">
        <v>206</v>
      </c>
      <c r="F16" s="288" t="s">
        <v>206</v>
      </c>
      <c r="G16" s="288" t="s">
        <v>206</v>
      </c>
      <c r="H16" s="288" t="s">
        <v>206</v>
      </c>
      <c r="I16" s="288" t="s">
        <v>206</v>
      </c>
      <c r="J16" s="288" t="s">
        <v>206</v>
      </c>
      <c r="K16" s="288" t="s">
        <v>206</v>
      </c>
      <c r="L16" s="288" t="s">
        <v>206</v>
      </c>
      <c r="M16" s="288" t="s">
        <v>206</v>
      </c>
      <c r="N16" s="288" t="s">
        <v>206</v>
      </c>
      <c r="O16" s="288" t="s">
        <v>206</v>
      </c>
      <c r="P16" s="288" t="s">
        <v>206</v>
      </c>
      <c r="Q16" s="288" t="s">
        <v>206</v>
      </c>
      <c r="R16" s="288" t="s">
        <v>206</v>
      </c>
      <c r="S16" s="288" t="s">
        <v>206</v>
      </c>
      <c r="T16" s="288" t="s">
        <v>206</v>
      </c>
      <c r="U16" s="288" t="s">
        <v>206</v>
      </c>
      <c r="V16" s="288" t="s">
        <v>206</v>
      </c>
      <c r="W16" s="288" t="s">
        <v>206</v>
      </c>
      <c r="X16" s="288" t="s">
        <v>206</v>
      </c>
      <c r="Y16" s="288" t="s">
        <v>206</v>
      </c>
      <c r="Z16" s="288" t="s">
        <v>206</v>
      </c>
      <c r="AA16" s="288" t="s">
        <v>206</v>
      </c>
      <c r="AB16" s="288" t="s">
        <v>206</v>
      </c>
      <c r="AC16" s="288" t="s">
        <v>206</v>
      </c>
      <c r="AD16" s="288" t="s">
        <v>206</v>
      </c>
      <c r="AE16" s="288" t="s">
        <v>206</v>
      </c>
      <c r="AF16" s="288" t="s">
        <v>206</v>
      </c>
      <c r="AG16" s="288" t="s">
        <v>206</v>
      </c>
      <c r="AH16" s="289" t="s">
        <v>206</v>
      </c>
      <c r="AI16" s="280" t="s">
        <v>531</v>
      </c>
      <c r="AJ16" s="257" t="s">
        <v>206</v>
      </c>
      <c r="AK16" s="288" t="s">
        <v>206</v>
      </c>
      <c r="AL16" s="288" t="s">
        <v>206</v>
      </c>
      <c r="AM16" s="288" t="s">
        <v>206</v>
      </c>
      <c r="AN16" s="288" t="s">
        <v>206</v>
      </c>
      <c r="AO16" s="288" t="s">
        <v>206</v>
      </c>
      <c r="AP16" s="288" t="s">
        <v>206</v>
      </c>
      <c r="AQ16" s="288" t="s">
        <v>206</v>
      </c>
      <c r="AR16" s="288" t="s">
        <v>206</v>
      </c>
      <c r="AS16" s="288" t="s">
        <v>206</v>
      </c>
      <c r="AT16" s="288" t="s">
        <v>206</v>
      </c>
      <c r="AU16" s="290" t="s">
        <v>206</v>
      </c>
      <c r="AV16" s="288" t="s">
        <v>206</v>
      </c>
      <c r="AW16" s="288" t="s">
        <v>206</v>
      </c>
      <c r="AX16" s="288" t="s">
        <v>206</v>
      </c>
      <c r="AY16" s="288" t="s">
        <v>206</v>
      </c>
      <c r="AZ16" s="288" t="s">
        <v>206</v>
      </c>
      <c r="BA16" s="288" t="s">
        <v>206</v>
      </c>
      <c r="BB16" s="288" t="s">
        <v>206</v>
      </c>
      <c r="BC16" s="288" t="s">
        <v>206</v>
      </c>
      <c r="BD16" s="288" t="s">
        <v>206</v>
      </c>
      <c r="BE16" s="291" t="s">
        <v>206</v>
      </c>
      <c r="BF16" s="288" t="s">
        <v>206</v>
      </c>
      <c r="BG16" s="291" t="s">
        <v>206</v>
      </c>
      <c r="BH16" s="288" t="s">
        <v>206</v>
      </c>
      <c r="BI16" s="291" t="s">
        <v>206</v>
      </c>
      <c r="BJ16" s="288" t="s">
        <v>206</v>
      </c>
      <c r="BK16" s="291" t="s">
        <v>206</v>
      </c>
      <c r="BL16" s="288" t="s">
        <v>206</v>
      </c>
      <c r="BM16" s="291" t="s">
        <v>206</v>
      </c>
      <c r="BN16" s="288" t="s">
        <v>206</v>
      </c>
      <c r="BO16" s="292" t="s">
        <v>206</v>
      </c>
      <c r="BP16" s="289" t="s">
        <v>206</v>
      </c>
      <c r="BQ16" s="280" t="s">
        <v>531</v>
      </c>
      <c r="BR16" s="281" t="s">
        <v>206</v>
      </c>
      <c r="BS16" s="288" t="s">
        <v>206</v>
      </c>
      <c r="BT16" s="291" t="s">
        <v>206</v>
      </c>
      <c r="BU16" s="288" t="s">
        <v>206</v>
      </c>
      <c r="BV16" s="291" t="s">
        <v>206</v>
      </c>
      <c r="BW16" s="288" t="s">
        <v>206</v>
      </c>
      <c r="BX16" s="292" t="s">
        <v>206</v>
      </c>
      <c r="BY16" s="288" t="s">
        <v>206</v>
      </c>
      <c r="BZ16" s="291" t="s">
        <v>206</v>
      </c>
      <c r="CA16" s="288" t="s">
        <v>206</v>
      </c>
      <c r="CB16" s="292" t="s">
        <v>206</v>
      </c>
      <c r="CC16" s="288" t="s">
        <v>206</v>
      </c>
      <c r="CD16" s="291" t="s">
        <v>206</v>
      </c>
      <c r="CE16" s="288" t="s">
        <v>206</v>
      </c>
      <c r="CF16" s="288" t="s">
        <v>206</v>
      </c>
      <c r="CG16" s="288" t="s">
        <v>206</v>
      </c>
      <c r="CH16" s="288" t="s">
        <v>206</v>
      </c>
      <c r="CI16" s="288" t="s">
        <v>206</v>
      </c>
      <c r="CJ16" s="288" t="s">
        <v>206</v>
      </c>
      <c r="CK16" s="288" t="s">
        <v>206</v>
      </c>
      <c r="CL16" s="288" t="s">
        <v>206</v>
      </c>
      <c r="CM16" s="288" t="s">
        <v>206</v>
      </c>
      <c r="CN16" s="288" t="s">
        <v>206</v>
      </c>
      <c r="CO16" s="288" t="s">
        <v>206</v>
      </c>
      <c r="CP16" s="290" t="s">
        <v>206</v>
      </c>
      <c r="CQ16" s="291" t="s">
        <v>206</v>
      </c>
      <c r="CR16" s="290" t="s">
        <v>206</v>
      </c>
      <c r="CS16" s="291" t="s">
        <v>206</v>
      </c>
      <c r="CT16" s="290" t="s">
        <v>206</v>
      </c>
      <c r="CU16" s="291" t="s">
        <v>206</v>
      </c>
      <c r="CV16" s="290" t="s">
        <v>206</v>
      </c>
      <c r="CW16" s="291" t="s">
        <v>206</v>
      </c>
      <c r="CX16" s="290" t="s">
        <v>206</v>
      </c>
      <c r="CY16" s="295" t="s">
        <v>206</v>
      </c>
      <c r="DD16" s="244"/>
      <c r="DE16" s="245"/>
      <c r="DF16" s="245"/>
      <c r="DG16" s="646" t="s">
        <v>521</v>
      </c>
      <c r="DH16" s="414" t="s">
        <v>518</v>
      </c>
      <c r="DI16" s="409" t="s">
        <v>519</v>
      </c>
      <c r="DJ16" s="296" t="s">
        <v>517</v>
      </c>
      <c r="DK16" s="297" t="s">
        <v>516</v>
      </c>
      <c r="DL16" s="297" t="s">
        <v>515</v>
      </c>
      <c r="DM16" s="297" t="s">
        <v>497</v>
      </c>
      <c r="DN16" s="297" t="s">
        <v>498</v>
      </c>
      <c r="DO16" s="297" t="s">
        <v>514</v>
      </c>
      <c r="DP16" s="297" t="s">
        <v>499</v>
      </c>
      <c r="DQ16" s="255" t="s">
        <v>513</v>
      </c>
    </row>
    <row r="17" spans="1:121" ht="23.1" customHeight="1" thickBot="1">
      <c r="A17" s="267" t="s">
        <v>159</v>
      </c>
      <c r="B17" s="268" t="s">
        <v>206</v>
      </c>
      <c r="C17" s="298">
        <f>C13-C15</f>
        <v>0</v>
      </c>
      <c r="D17" s="298">
        <v>2.0608263</v>
      </c>
      <c r="E17" s="298">
        <f t="shared" ref="E17:BR17" si="18">E13-E15</f>
        <v>0.19695400000000002</v>
      </c>
      <c r="F17" s="298">
        <f t="shared" si="18"/>
        <v>-0.6063826000000001</v>
      </c>
      <c r="G17" s="298">
        <f t="shared" si="18"/>
        <v>1.2998882900000002</v>
      </c>
      <c r="H17" s="298">
        <f t="shared" si="18"/>
        <v>4.5052640000000004</v>
      </c>
      <c r="I17" s="298">
        <f t="shared" si="18"/>
        <v>2.9221430000000002</v>
      </c>
      <c r="J17" s="298">
        <f t="shared" si="18"/>
        <v>-37.219065000000001</v>
      </c>
      <c r="K17" s="298">
        <f t="shared" si="18"/>
        <v>-7.5361650000000004</v>
      </c>
      <c r="L17" s="298">
        <f t="shared" si="18"/>
        <v>-29.285896000000001</v>
      </c>
      <c r="M17" s="298">
        <f t="shared" si="18"/>
        <v>-4.7405389999999983</v>
      </c>
      <c r="N17" s="298">
        <f t="shared" si="18"/>
        <v>-42.242860000000007</v>
      </c>
      <c r="O17" s="298">
        <f t="shared" si="18"/>
        <v>32.729561000000004</v>
      </c>
      <c r="P17" s="298">
        <f t="shared" si="18"/>
        <v>137.91667999999999</v>
      </c>
      <c r="Q17" s="298">
        <f t="shared" si="18"/>
        <v>28.588700999999986</v>
      </c>
      <c r="R17" s="298">
        <f t="shared" si="18"/>
        <v>-86.420149999999978</v>
      </c>
      <c r="S17" s="298">
        <f t="shared" si="18"/>
        <v>-24.146304999999984</v>
      </c>
      <c r="T17" s="298">
        <f t="shared" si="18"/>
        <v>76.314159999999987</v>
      </c>
      <c r="U17" s="298">
        <f t="shared" si="18"/>
        <v>99.644783999999959</v>
      </c>
      <c r="V17" s="298">
        <f t="shared" si="18"/>
        <v>84.536603000000014</v>
      </c>
      <c r="W17" s="298">
        <f t="shared" si="18"/>
        <v>46.986149000000012</v>
      </c>
      <c r="X17" s="298">
        <f t="shared" si="18"/>
        <v>-90.299843000000067</v>
      </c>
      <c r="Y17" s="298">
        <f t="shared" si="18"/>
        <v>-162.66318200000001</v>
      </c>
      <c r="Z17" s="298">
        <f t="shared" si="18"/>
        <v>218.03629899999999</v>
      </c>
      <c r="AA17" s="298">
        <f>AA13-AA15</f>
        <v>133.7990870000001</v>
      </c>
      <c r="AB17" s="299">
        <f t="shared" si="18"/>
        <v>413.15001800000005</v>
      </c>
      <c r="AC17" s="299">
        <f t="shared" si="18"/>
        <v>1020.4803990000003</v>
      </c>
      <c r="AD17" s="299">
        <f t="shared" si="18"/>
        <v>-225.71361200000001</v>
      </c>
      <c r="AE17" s="298">
        <f t="shared" si="18"/>
        <v>-13.086021000000073</v>
      </c>
      <c r="AF17" s="298">
        <f t="shared" si="18"/>
        <v>1073.6547189999999</v>
      </c>
      <c r="AG17" s="298">
        <f t="shared" si="18"/>
        <v>1428.9398799999999</v>
      </c>
      <c r="AH17" s="300">
        <f t="shared" si="18"/>
        <v>1601.9935660000001</v>
      </c>
      <c r="AI17" s="267" t="s">
        <v>159</v>
      </c>
      <c r="AJ17" s="268">
        <f t="shared" si="18"/>
        <v>1915.5711250000002</v>
      </c>
      <c r="AK17" s="299">
        <f t="shared" si="18"/>
        <v>2091.0641890000002</v>
      </c>
      <c r="AL17" s="298">
        <f t="shared" si="18"/>
        <v>2504.8568730000006</v>
      </c>
      <c r="AM17" s="298">
        <f t="shared" si="18"/>
        <v>3472.4199999999996</v>
      </c>
      <c r="AN17" s="298">
        <f t="shared" si="18"/>
        <v>2579.8410000000003</v>
      </c>
      <c r="AO17" s="298">
        <f t="shared" si="18"/>
        <v>5063.08</v>
      </c>
      <c r="AP17" s="298">
        <f t="shared" si="18"/>
        <v>4003.0639999999999</v>
      </c>
      <c r="AQ17" s="298">
        <f t="shared" si="18"/>
        <v>4151.1400000000003</v>
      </c>
      <c r="AR17" s="298">
        <f t="shared" si="18"/>
        <v>3429.6880000000006</v>
      </c>
      <c r="AS17" s="298">
        <f t="shared" si="18"/>
        <v>1425.1470000000002</v>
      </c>
      <c r="AT17" s="298">
        <f t="shared" si="18"/>
        <v>5365.067</v>
      </c>
      <c r="AU17" s="298">
        <f t="shared" si="18"/>
        <v>5894.8201319999998</v>
      </c>
      <c r="AV17" s="298">
        <f t="shared" si="18"/>
        <v>2711.5854330000002</v>
      </c>
      <c r="AW17" s="298">
        <f t="shared" si="18"/>
        <v>3786.9754900000007</v>
      </c>
      <c r="AX17" s="298">
        <f t="shared" si="18"/>
        <v>236.29741999999987</v>
      </c>
      <c r="AY17" s="298">
        <f t="shared" si="18"/>
        <v>377.76858799999991</v>
      </c>
      <c r="AZ17" s="298">
        <f t="shared" si="18"/>
        <v>56.294831999999587</v>
      </c>
      <c r="BA17" s="298">
        <f t="shared" si="18"/>
        <v>433.40283600000021</v>
      </c>
      <c r="BB17" s="298">
        <f t="shared" si="18"/>
        <v>-961.58362300000044</v>
      </c>
      <c r="BC17" s="298">
        <f t="shared" si="18"/>
        <v>251.83849499999997</v>
      </c>
      <c r="BD17" s="298">
        <f t="shared" si="18"/>
        <v>-2127.6800929999999</v>
      </c>
      <c r="BE17" s="298">
        <f t="shared" si="18"/>
        <v>-636.42601599999989</v>
      </c>
      <c r="BF17" s="299">
        <f>BF13+BF14-BF15</f>
        <v>-1025.3787180000004</v>
      </c>
      <c r="BG17" s="298">
        <f t="shared" si="18"/>
        <v>-166</v>
      </c>
      <c r="BH17" s="299">
        <f>BH13+BH14-BH15</f>
        <v>67.403131999999914</v>
      </c>
      <c r="BI17" s="298">
        <f t="shared" si="18"/>
        <v>-74</v>
      </c>
      <c r="BJ17" s="299">
        <f>BJ13+BJ14-BJ15</f>
        <v>-603.60077399999955</v>
      </c>
      <c r="BK17" s="298">
        <f t="shared" si="18"/>
        <v>-270</v>
      </c>
      <c r="BL17" s="299">
        <f>BL13+BL14-BL15</f>
        <v>1451.5780710000004</v>
      </c>
      <c r="BM17" s="298">
        <f t="shared" si="18"/>
        <v>243</v>
      </c>
      <c r="BN17" s="299">
        <f>BN13+BN14-BN15</f>
        <v>-66</v>
      </c>
      <c r="BO17" s="298">
        <f t="shared" si="18"/>
        <v>410</v>
      </c>
      <c r="BP17" s="300">
        <f>BP13+BP14-BP15</f>
        <v>-93</v>
      </c>
      <c r="BQ17" s="267" t="s">
        <v>159</v>
      </c>
      <c r="BR17" s="268">
        <f t="shared" si="18"/>
        <v>454</v>
      </c>
      <c r="BS17" s="299">
        <f>BS13+BS14-BS15</f>
        <v>1370</v>
      </c>
      <c r="BT17" s="298">
        <f t="shared" ref="BT17:BX17" si="19">BT13-BT15</f>
        <v>-241</v>
      </c>
      <c r="BU17" s="299">
        <f>BU13+BU14-BU15</f>
        <v>-91</v>
      </c>
      <c r="BV17" s="298">
        <f t="shared" si="19"/>
        <v>1919</v>
      </c>
      <c r="BW17" s="299">
        <f>BW13+BW14-BW15</f>
        <v>2061</v>
      </c>
      <c r="BX17" s="298">
        <f t="shared" si="19"/>
        <v>-1521</v>
      </c>
      <c r="BY17" s="299">
        <f>BY13+BY14-BY15</f>
        <v>-1056</v>
      </c>
      <c r="BZ17" s="298">
        <f t="shared" ref="BZ17" si="20">BZ13-BZ15</f>
        <v>-39</v>
      </c>
      <c r="CA17" s="299">
        <f>CA13+CA14-CA15</f>
        <v>886</v>
      </c>
      <c r="CB17" s="298">
        <f t="shared" ref="CB17:CF17" si="21">CB13-CB15</f>
        <v>-1232</v>
      </c>
      <c r="CC17" s="299">
        <f>CC13+CC14-CC15</f>
        <v>-558</v>
      </c>
      <c r="CD17" s="298">
        <f t="shared" si="21"/>
        <v>-1278</v>
      </c>
      <c r="CE17" s="299">
        <f>CE13+CE14-CE15</f>
        <v>-9</v>
      </c>
      <c r="CF17" s="298">
        <f t="shared" si="21"/>
        <v>629</v>
      </c>
      <c r="CG17" s="299">
        <f>CG13+CG14-CG15</f>
        <v>2824</v>
      </c>
      <c r="CH17" s="298">
        <f t="shared" ref="CH17:CJ17" si="22">CH13-CH15</f>
        <v>476</v>
      </c>
      <c r="CI17" s="299">
        <f>CI13+CI14-CI15</f>
        <v>3428</v>
      </c>
      <c r="CJ17" s="298">
        <f t="shared" si="22"/>
        <v>1089</v>
      </c>
      <c r="CK17" s="299">
        <f>CK13+CK14-CK15</f>
        <v>4299</v>
      </c>
      <c r="CL17" s="298">
        <f t="shared" ref="CL17" si="23">CL13-CL15</f>
        <v>933</v>
      </c>
      <c r="CM17" s="299">
        <f>CM13+CM14-CM15</f>
        <v>4288</v>
      </c>
      <c r="CN17" s="298">
        <f t="shared" ref="CN17:CP17" si="24">CN13-CN15</f>
        <v>1875.535926</v>
      </c>
      <c r="CO17" s="299">
        <f>CO13+CO14-CO15</f>
        <v>4259.3962089999995</v>
      </c>
      <c r="CP17" s="298">
        <f t="shared" si="24"/>
        <v>1543.9163480000002</v>
      </c>
      <c r="CQ17" s="298">
        <f>CQ13+CQ14-CQ15</f>
        <v>1631.9400650000002</v>
      </c>
      <c r="CR17" s="298">
        <f t="shared" ref="CR17:CT17" si="25">CR13-CR15</f>
        <v>2348</v>
      </c>
      <c r="CS17" s="298">
        <f>CS13+CS14-CS15</f>
        <v>2418</v>
      </c>
      <c r="CT17" s="298">
        <f t="shared" si="25"/>
        <v>1231</v>
      </c>
      <c r="CU17" s="298">
        <f>CU13+CU14-CU15</f>
        <v>2552</v>
      </c>
      <c r="CV17" s="298">
        <f>CV13-CV15-1</f>
        <v>15518</v>
      </c>
      <c r="CW17" s="298">
        <f>CW13+CW14-CW15</f>
        <v>-678</v>
      </c>
      <c r="CX17" s="298">
        <f>CX13-CX15-1</f>
        <v>7873</v>
      </c>
      <c r="CY17" s="300">
        <f>CY13+CY14-CY15-1</f>
        <v>546</v>
      </c>
      <c r="DD17" s="244"/>
      <c r="DE17" s="245"/>
      <c r="DF17" s="245"/>
      <c r="DG17" s="645"/>
      <c r="DH17" s="415">
        <v>96757</v>
      </c>
      <c r="DI17" s="396">
        <v>91610</v>
      </c>
      <c r="DJ17" s="294">
        <v>67560</v>
      </c>
      <c r="DK17" s="265">
        <v>65150</v>
      </c>
      <c r="DL17" s="265">
        <v>61778</v>
      </c>
      <c r="DM17" s="265">
        <v>49853</v>
      </c>
      <c r="DN17" s="265">
        <v>47862</v>
      </c>
      <c r="DO17" s="265">
        <v>47663</v>
      </c>
      <c r="DP17" s="265">
        <v>41486</v>
      </c>
      <c r="DQ17" s="266">
        <v>41211</v>
      </c>
    </row>
    <row r="18" spans="1:121" ht="23.1" customHeight="1" thickBot="1">
      <c r="A18" s="267" t="s">
        <v>160</v>
      </c>
      <c r="B18" s="268" t="s">
        <v>206</v>
      </c>
      <c r="C18" s="269">
        <f t="shared" ref="C18:K18" si="26">C11+C13-C15</f>
        <v>0.12361164999999597</v>
      </c>
      <c r="D18" s="269">
        <f t="shared" si="26"/>
        <v>2.0608262999999996</v>
      </c>
      <c r="E18" s="269">
        <f t="shared" si="26"/>
        <v>7.2730029999999974</v>
      </c>
      <c r="F18" s="269">
        <f t="shared" si="26"/>
        <v>9.9509053999999999</v>
      </c>
      <c r="G18" s="269">
        <f t="shared" si="26"/>
        <v>12.895026949999997</v>
      </c>
      <c r="H18" s="269">
        <f t="shared" si="26"/>
        <v>11.043245000000004</v>
      </c>
      <c r="I18" s="269">
        <f t="shared" si="26"/>
        <v>52.911821999999994</v>
      </c>
      <c r="J18" s="269">
        <f t="shared" si="26"/>
        <v>125.55560699999998</v>
      </c>
      <c r="K18" s="269">
        <f t="shared" si="26"/>
        <v>161.19442400000003</v>
      </c>
      <c r="L18" s="269">
        <f t="shared" ref="L18:AJ18" si="27">L11+L13-L15</f>
        <v>248.70464700000002</v>
      </c>
      <c r="M18" s="269">
        <f t="shared" si="27"/>
        <v>221.38860199999999</v>
      </c>
      <c r="N18" s="269">
        <f t="shared" si="27"/>
        <v>373.31413599999985</v>
      </c>
      <c r="O18" s="269">
        <f t="shared" si="27"/>
        <v>697.36939700000005</v>
      </c>
      <c r="P18" s="269">
        <f t="shared" si="27"/>
        <v>1400.1167640000001</v>
      </c>
      <c r="Q18" s="269">
        <f t="shared" si="27"/>
        <v>1071.307168</v>
      </c>
      <c r="R18" s="269">
        <f t="shared" si="27"/>
        <v>1222.6738249999999</v>
      </c>
      <c r="S18" s="269">
        <f t="shared" si="27"/>
        <v>1614.6126220000001</v>
      </c>
      <c r="T18" s="269">
        <f t="shared" si="27"/>
        <v>1976.8839129999999</v>
      </c>
      <c r="U18" s="269">
        <f t="shared" si="27"/>
        <v>2152.498075</v>
      </c>
      <c r="V18" s="269">
        <f t="shared" si="27"/>
        <v>2186.4233290000002</v>
      </c>
      <c r="W18" s="269">
        <f t="shared" si="27"/>
        <v>2052.5161640000001</v>
      </c>
      <c r="X18" s="269">
        <f t="shared" si="27"/>
        <v>2357.3694320000004</v>
      </c>
      <c r="Y18" s="269">
        <f t="shared" si="27"/>
        <v>3343.4484670000002</v>
      </c>
      <c r="Z18" s="269">
        <f t="shared" si="27"/>
        <v>5409.0598140000002</v>
      </c>
      <c r="AA18" s="269">
        <f t="shared" si="27"/>
        <v>5756.3518480000002</v>
      </c>
      <c r="AB18" s="92">
        <f t="shared" si="27"/>
        <v>6613.2293789999994</v>
      </c>
      <c r="AC18" s="92">
        <f t="shared" si="27"/>
        <v>5985.4268859999993</v>
      </c>
      <c r="AD18" s="92">
        <f t="shared" si="27"/>
        <v>6519.119783000001</v>
      </c>
      <c r="AE18" s="269">
        <f t="shared" si="27"/>
        <v>9440.5861130000012</v>
      </c>
      <c r="AF18" s="92">
        <f t="shared" si="27"/>
        <v>11024.173608000001</v>
      </c>
      <c r="AG18" s="269">
        <f t="shared" si="27"/>
        <v>9554.7288872999998</v>
      </c>
      <c r="AH18" s="270">
        <f t="shared" si="27"/>
        <v>12269.703732000002</v>
      </c>
      <c r="AI18" s="267" t="s">
        <v>160</v>
      </c>
      <c r="AJ18" s="301">
        <f t="shared" si="27"/>
        <v>13387.253361999999</v>
      </c>
      <c r="AK18" s="92">
        <f t="shared" ref="AK18:AQ18" si="28">AK11+AK13-AK15</f>
        <v>12961.952862999999</v>
      </c>
      <c r="AL18" s="269">
        <f t="shared" si="28"/>
        <v>16700.200563999999</v>
      </c>
      <c r="AM18" s="269">
        <f t="shared" si="28"/>
        <v>20693.719000000001</v>
      </c>
      <c r="AN18" s="269">
        <f t="shared" si="28"/>
        <v>19527.377</v>
      </c>
      <c r="AO18" s="269">
        <f t="shared" si="28"/>
        <v>19019.795000000002</v>
      </c>
      <c r="AP18" s="269">
        <f t="shared" si="28"/>
        <v>15550.863000000003</v>
      </c>
      <c r="AQ18" s="269">
        <f t="shared" si="28"/>
        <v>10360.522000000001</v>
      </c>
      <c r="AR18" s="269">
        <f>AR11+AR13-AR15</f>
        <v>11355.093999999999</v>
      </c>
      <c r="AS18" s="269">
        <f>AS11+AS13-AS15</f>
        <v>4278.9530000000013</v>
      </c>
      <c r="AT18" s="269">
        <f>AT11+AT13-AT15</f>
        <v>12502.220999999998</v>
      </c>
      <c r="AU18" s="92">
        <f>AU11+AU13-AU15</f>
        <v>13610.604872899999</v>
      </c>
      <c r="AV18" s="269">
        <f t="shared" ref="AV18:BD18" si="29">AV11+AV13-AV15</f>
        <v>15235.512867999998</v>
      </c>
      <c r="AW18" s="269">
        <f t="shared" si="29"/>
        <v>15101.116711000004</v>
      </c>
      <c r="AX18" s="269">
        <f t="shared" si="29"/>
        <v>12615.017125000002</v>
      </c>
      <c r="AY18" s="269">
        <f t="shared" si="29"/>
        <v>13011.952377000001</v>
      </c>
      <c r="AZ18" s="269">
        <f t="shared" si="29"/>
        <v>13070.861275000003</v>
      </c>
      <c r="BA18" s="269">
        <f t="shared" si="29"/>
        <v>11191.890517</v>
      </c>
      <c r="BB18" s="269">
        <f t="shared" si="29"/>
        <v>7683.7406109999993</v>
      </c>
      <c r="BC18" s="269">
        <f t="shared" si="29"/>
        <v>8256.7920810000032</v>
      </c>
      <c r="BD18" s="92">
        <f t="shared" si="29"/>
        <v>6359.5079789999972</v>
      </c>
      <c r="BE18" s="269">
        <f>BE11+BE13-BE15+1</f>
        <v>9459.3960780000034</v>
      </c>
      <c r="BF18" s="92">
        <f>BF11+BF13+BF14-BF15</f>
        <v>10644.123186999997</v>
      </c>
      <c r="BG18" s="269">
        <f>BG11+BG13-BG15</f>
        <v>11613</v>
      </c>
      <c r="BH18" s="92">
        <f>BH11+BH13+BH14-BH15</f>
        <v>13197.781520999997</v>
      </c>
      <c r="BI18" s="269">
        <f>BI11+BI13-BI15</f>
        <v>8575</v>
      </c>
      <c r="BJ18" s="92">
        <f>BJ11+BJ13+BJ14-BJ15</f>
        <v>9245.317606999999</v>
      </c>
      <c r="BK18" s="269">
        <f>BK11+BK13-BK15+1</f>
        <v>-6707</v>
      </c>
      <c r="BL18" s="92">
        <f>BL11+BL13+BL14-BL15</f>
        <v>-3317.7890099999963</v>
      </c>
      <c r="BM18" s="269">
        <f>BM11+BM13-BM15</f>
        <v>5563</v>
      </c>
      <c r="BN18" s="92">
        <f>BN11+BN13+BN14-BN15</f>
        <v>7401</v>
      </c>
      <c r="BO18" s="272">
        <f>BO11+BO13-BO15+1</f>
        <v>7992</v>
      </c>
      <c r="BP18" s="270">
        <f>BP11+BP13+BP14-BP15-1</f>
        <v>9203</v>
      </c>
      <c r="BQ18" s="267" t="s">
        <v>160</v>
      </c>
      <c r="BR18" s="271">
        <f>BR11+BR13-BR15</f>
        <v>7026</v>
      </c>
      <c r="BS18" s="92">
        <f>BS11+BS13+BS14-BS15-1</f>
        <v>9244</v>
      </c>
      <c r="BT18" s="269">
        <f>BT11+BT13-BT15</f>
        <v>257</v>
      </c>
      <c r="BU18" s="92">
        <f>BU11+BU13+BU14-BU15+1</f>
        <v>1980</v>
      </c>
      <c r="BV18" s="269">
        <f>BV11+BV13-BV15</f>
        <v>-3506</v>
      </c>
      <c r="BW18" s="92">
        <f>BW11+BW13+BW14-BW15</f>
        <v>-2311</v>
      </c>
      <c r="BX18" s="272">
        <f>BX11+BX13-BX15+1</f>
        <v>3325</v>
      </c>
      <c r="BY18" s="92">
        <f>BY11+BY13+BY14-BY15</f>
        <v>3912</v>
      </c>
      <c r="BZ18" s="269">
        <f>BZ11+BZ13-BZ15</f>
        <v>4145</v>
      </c>
      <c r="CA18" s="92">
        <f>CA11+CA13+CA14-CA15</f>
        <v>3569</v>
      </c>
      <c r="CB18" s="272">
        <f>CB11+CB13-CB15</f>
        <v>1352</v>
      </c>
      <c r="CC18" s="92">
        <f>CC11+CC13+CC14-CC15</f>
        <v>1360</v>
      </c>
      <c r="CD18" s="269">
        <f>CD11+CD13-CD15-1</f>
        <v>2882</v>
      </c>
      <c r="CE18" s="92">
        <f>CE11+CE13+CE14-CE15</f>
        <v>5290</v>
      </c>
      <c r="CF18" s="272">
        <f>CF11+CF13-CF15+1</f>
        <v>-8035</v>
      </c>
      <c r="CG18" s="92">
        <f>CG11+CG13+CG14-CG15+1</f>
        <v>-4226</v>
      </c>
      <c r="CH18" s="272">
        <f>CH11+CH13-CH15</f>
        <v>5740</v>
      </c>
      <c r="CI18" s="92">
        <f>CI11+CI13+CI14-CI15+1</f>
        <v>11282</v>
      </c>
      <c r="CJ18" s="269">
        <f>CJ11+CJ13-CJ15+1</f>
        <v>9269</v>
      </c>
      <c r="CK18" s="92">
        <f>CK11+CK13+CK14-CK15</f>
        <v>15277</v>
      </c>
      <c r="CL18" s="269">
        <f>CL11+CL13-CL15+1-1</f>
        <v>16542</v>
      </c>
      <c r="CM18" s="92">
        <f t="shared" ref="CM18" si="30">CM11+CM13+CM14-CM15</f>
        <v>22991</v>
      </c>
      <c r="CN18" s="269">
        <f>CN11+CN13-CN15</f>
        <v>19416.540464199996</v>
      </c>
      <c r="CO18" s="92">
        <f>CO11+CO13+CO14-CO15</f>
        <v>27363.285567999996</v>
      </c>
      <c r="CP18" s="269">
        <f>CP11+CP13-CP15</f>
        <v>29421.948950999995</v>
      </c>
      <c r="CQ18" s="269">
        <f>CQ11+CQ13+CQ14-CQ15</f>
        <v>37018.517539</v>
      </c>
      <c r="CR18" s="269">
        <f>CR11+CR13-CR15</f>
        <v>32168</v>
      </c>
      <c r="CS18" s="269">
        <f>CS11+CS13+CS14-CS15+1</f>
        <v>38363</v>
      </c>
      <c r="CT18" s="269">
        <f>CT11+CT13-CT15</f>
        <v>29802</v>
      </c>
      <c r="CU18" s="269">
        <f>CU11+CU13+CU14-CU15</f>
        <v>36597</v>
      </c>
      <c r="CV18" s="269">
        <f>CV11+CV13-CV15</f>
        <v>45241</v>
      </c>
      <c r="CW18" s="269">
        <f>CW11+CW13+CW14-CW15</f>
        <v>45665</v>
      </c>
      <c r="CX18" s="269">
        <f>CX11+CX13-CX15</f>
        <v>35194</v>
      </c>
      <c r="CY18" s="270">
        <f>CY11+CY13+CY14-CY15</f>
        <v>38036</v>
      </c>
      <c r="DD18" s="244"/>
      <c r="DE18" s="245"/>
      <c r="DF18" s="245"/>
      <c r="DG18" s="245"/>
      <c r="DH18" s="245"/>
      <c r="DI18" s="245"/>
      <c r="DJ18" s="245"/>
      <c r="DK18" s="245"/>
      <c r="DL18" s="245"/>
      <c r="DM18" s="245"/>
      <c r="DN18" s="245"/>
      <c r="DO18" s="245"/>
      <c r="DP18" s="245"/>
      <c r="DQ18" s="245"/>
    </row>
    <row r="19" spans="1:121" ht="23.1" customHeight="1">
      <c r="A19" s="274" t="s">
        <v>161</v>
      </c>
      <c r="B19" s="275" t="s">
        <v>206</v>
      </c>
      <c r="C19" s="276">
        <f>C18/C7</f>
        <v>3.6268516510288076E-3</v>
      </c>
      <c r="D19" s="276">
        <f t="shared" ref="D19:BP19" si="31">D18/D7</f>
        <v>0.23666731925055573</v>
      </c>
      <c r="E19" s="276">
        <f t="shared" si="31"/>
        <v>2.0880606081548507E-2</v>
      </c>
      <c r="F19" s="276">
        <f t="shared" si="31"/>
        <v>3.5095648825769231E-2</v>
      </c>
      <c r="G19" s="276">
        <f t="shared" si="31"/>
        <v>4.3948829489368763E-2</v>
      </c>
      <c r="H19" s="276">
        <f t="shared" si="31"/>
        <v>1.2435416949677423E-2</v>
      </c>
      <c r="I19" s="276">
        <f t="shared" si="31"/>
        <v>4.0702592183211948E-2</v>
      </c>
      <c r="J19" s="276">
        <f t="shared" si="31"/>
        <v>4.0088452767797447E-2</v>
      </c>
      <c r="K19" s="276">
        <f t="shared" si="31"/>
        <v>6.5637754282849362E-2</v>
      </c>
      <c r="L19" s="276">
        <f t="shared" si="31"/>
        <v>7.4078535261809783E-2</v>
      </c>
      <c r="M19" s="276">
        <f>M18/M7</f>
        <v>6.6767637943208391E-2</v>
      </c>
      <c r="N19" s="276">
        <f t="shared" si="31"/>
        <v>8.3448796100445047E-2</v>
      </c>
      <c r="O19" s="283">
        <f>O18/O7</f>
        <v>8.421622669635774E-2</v>
      </c>
      <c r="P19" s="276">
        <f t="shared" si="31"/>
        <v>0.15530426847355519</v>
      </c>
      <c r="Q19" s="276">
        <f t="shared" si="31"/>
        <v>9.619053271399175E-2</v>
      </c>
      <c r="R19" s="276">
        <f t="shared" si="31"/>
        <v>7.9441268420186603E-2</v>
      </c>
      <c r="S19" s="276">
        <f t="shared" si="31"/>
        <v>8.5414538138287241E-2</v>
      </c>
      <c r="T19" s="276">
        <f t="shared" si="31"/>
        <v>8.4475039248661177E-2</v>
      </c>
      <c r="U19" s="276">
        <f t="shared" si="31"/>
        <v>7.9420095972340024E-2</v>
      </c>
      <c r="V19" s="276">
        <f t="shared" si="31"/>
        <v>7.14125136109863E-2</v>
      </c>
      <c r="W19" s="276">
        <f t="shared" si="31"/>
        <v>5.7506716069063012E-2</v>
      </c>
      <c r="X19" s="276">
        <f t="shared" si="31"/>
        <v>5.2717872275254846E-2</v>
      </c>
      <c r="Y19" s="276">
        <f t="shared" si="31"/>
        <v>6.0936626865722252E-2</v>
      </c>
      <c r="Z19" s="276">
        <f t="shared" si="31"/>
        <v>7.8648599352776086E-2</v>
      </c>
      <c r="AA19" s="276">
        <f t="shared" si="31"/>
        <v>7.1290255653571513E-2</v>
      </c>
      <c r="AB19" s="276">
        <f t="shared" si="31"/>
        <v>7.3292642954264534E-2</v>
      </c>
      <c r="AC19" s="276">
        <f t="shared" si="31"/>
        <v>5.3496550949767269E-2</v>
      </c>
      <c r="AD19" s="277">
        <f t="shared" si="31"/>
        <v>4.1715891000978021E-2</v>
      </c>
      <c r="AE19" s="276">
        <f t="shared" si="31"/>
        <v>6.4502448462913975E-2</v>
      </c>
      <c r="AF19" s="276">
        <f t="shared" si="31"/>
        <v>7.6759454974531488E-2</v>
      </c>
      <c r="AG19" s="276">
        <f t="shared" si="31"/>
        <v>6.1213103464512079E-2</v>
      </c>
      <c r="AH19" s="278">
        <f t="shared" si="31"/>
        <v>7.5969168402509918E-2</v>
      </c>
      <c r="AI19" s="274" t="s">
        <v>161</v>
      </c>
      <c r="AJ19" s="279">
        <f t="shared" si="31"/>
        <v>6.1257386086932902E-2</v>
      </c>
      <c r="AK19" s="277">
        <f t="shared" si="31"/>
        <v>5.3962301175844947E-2</v>
      </c>
      <c r="AL19" s="276">
        <f t="shared" si="31"/>
        <v>6.6658306472693649E-2</v>
      </c>
      <c r="AM19" s="276">
        <f t="shared" si="31"/>
        <v>7.0115462971498843E-2</v>
      </c>
      <c r="AN19" s="276">
        <f t="shared" si="31"/>
        <v>6.5298381172795336E-2</v>
      </c>
      <c r="AO19" s="276">
        <f t="shared" si="31"/>
        <v>6.053471180059937E-2</v>
      </c>
      <c r="AP19" s="276">
        <f t="shared" si="31"/>
        <v>4.7088723200353823E-2</v>
      </c>
      <c r="AQ19" s="276">
        <f t="shared" si="31"/>
        <v>2.813421571474755E-2</v>
      </c>
      <c r="AR19" s="276">
        <f t="shared" si="31"/>
        <v>3.0422203018601827E-2</v>
      </c>
      <c r="AS19" s="276">
        <f t="shared" si="31"/>
        <v>3.3867033195518308E-2</v>
      </c>
      <c r="AT19" s="276">
        <f t="shared" si="31"/>
        <v>3.1486298421095564E-2</v>
      </c>
      <c r="AU19" s="276">
        <f t="shared" si="31"/>
        <v>3.2207863153419031E-2</v>
      </c>
      <c r="AV19" s="276">
        <f t="shared" si="31"/>
        <v>3.2077785963964191E-2</v>
      </c>
      <c r="AW19" s="276">
        <f t="shared" si="31"/>
        <v>3.0135458994773438E-2</v>
      </c>
      <c r="AX19" s="276">
        <f t="shared" si="31"/>
        <v>2.5177896579082315E-2</v>
      </c>
      <c r="AY19" s="276">
        <f t="shared" si="31"/>
        <v>2.4421716804999317E-2</v>
      </c>
      <c r="AZ19" s="276">
        <f t="shared" si="31"/>
        <v>2.4666593935744625E-2</v>
      </c>
      <c r="BA19" s="276">
        <f t="shared" si="31"/>
        <v>2.1244056977155038E-2</v>
      </c>
      <c r="BB19" s="276">
        <f t="shared" si="31"/>
        <v>1.5569328932185154E-2</v>
      </c>
      <c r="BC19" s="276">
        <f t="shared" si="31"/>
        <v>1.6340970911252198E-2</v>
      </c>
      <c r="BD19" s="276">
        <f t="shared" si="31"/>
        <v>1.3507823769006815E-2</v>
      </c>
      <c r="BE19" s="276">
        <f t="shared" si="31"/>
        <v>2.2756471510063971E-2</v>
      </c>
      <c r="BF19" s="276">
        <f t="shared" si="31"/>
        <v>2.2186285095474691E-2</v>
      </c>
      <c r="BG19" s="276">
        <f t="shared" si="31"/>
        <v>2.8383025420808353E-2</v>
      </c>
      <c r="BH19" s="276">
        <f t="shared" si="31"/>
        <v>2.8422625674838851E-2</v>
      </c>
      <c r="BI19" s="276">
        <f t="shared" si="31"/>
        <v>2.2001169974753175E-2</v>
      </c>
      <c r="BJ19" s="277">
        <f t="shared" si="31"/>
        <v>2.1023732802002263E-2</v>
      </c>
      <c r="BK19" s="284">
        <f t="shared" si="31"/>
        <v>-1.6236839493261483E-2</v>
      </c>
      <c r="BL19" s="285">
        <f t="shared" si="31"/>
        <v>-7.2305677958160704E-3</v>
      </c>
      <c r="BM19" s="276">
        <f t="shared" si="31"/>
        <v>1.2854016909166949E-2</v>
      </c>
      <c r="BN19" s="276">
        <f t="shared" si="31"/>
        <v>1.5281282132813564E-2</v>
      </c>
      <c r="BO19" s="276">
        <f t="shared" si="31"/>
        <v>1.9110793341830207E-2</v>
      </c>
      <c r="BP19" s="278">
        <f t="shared" si="31"/>
        <v>1.9843716982840782E-2</v>
      </c>
      <c r="BQ19" s="274" t="s">
        <v>161</v>
      </c>
      <c r="BR19" s="279">
        <f t="shared" ref="BR19:CQ19" si="32">BR18/BR7</f>
        <v>1.6600196575057648E-2</v>
      </c>
      <c r="BS19" s="276">
        <f t="shared" si="32"/>
        <v>1.958702814946657E-2</v>
      </c>
      <c r="BT19" s="276">
        <f t="shared" si="32"/>
        <v>6.0439017736617579E-4</v>
      </c>
      <c r="BU19" s="277">
        <f t="shared" si="32"/>
        <v>4.1419994561010818E-3</v>
      </c>
      <c r="BV19" s="284">
        <f t="shared" si="32"/>
        <v>-8.3923583101342628E-3</v>
      </c>
      <c r="BW19" s="284">
        <f t="shared" si="32"/>
        <v>-4.8400439813602808E-3</v>
      </c>
      <c r="BX19" s="276">
        <f t="shared" si="32"/>
        <v>9.6134385751872088E-3</v>
      </c>
      <c r="BY19" s="276">
        <f t="shared" si="32"/>
        <v>9.9678440205675962E-3</v>
      </c>
      <c r="BZ19" s="276">
        <f t="shared" si="32"/>
        <v>1.437783350850356E-2</v>
      </c>
      <c r="CA19" s="276">
        <f t="shared" si="32"/>
        <v>1.0860403195131228E-2</v>
      </c>
      <c r="CB19" s="276">
        <f t="shared" si="32"/>
        <v>5.4584579856190628E-3</v>
      </c>
      <c r="CC19" s="276">
        <f t="shared" si="32"/>
        <v>4.6593373463018227E-3</v>
      </c>
      <c r="CD19" s="276">
        <f t="shared" si="32"/>
        <v>1.1126854636639859E-2</v>
      </c>
      <c r="CE19" s="276">
        <f t="shared" si="32"/>
        <v>1.6883319981999635E-2</v>
      </c>
      <c r="CF19" s="284">
        <f t="shared" si="32"/>
        <v>-2.6676892532130136E-2</v>
      </c>
      <c r="CG19" s="284">
        <f t="shared" si="32"/>
        <v>-1.1447703822492869E-2</v>
      </c>
      <c r="CH19" s="276">
        <f t="shared" si="32"/>
        <v>1.7723434146943943E-2</v>
      </c>
      <c r="CI19" s="276">
        <f t="shared" si="32"/>
        <v>2.8520724419321894E-2</v>
      </c>
      <c r="CJ19" s="276">
        <f t="shared" si="32"/>
        <v>2.798112655052391E-2</v>
      </c>
      <c r="CK19" s="277">
        <f t="shared" si="32"/>
        <v>3.7686000157878118E-2</v>
      </c>
      <c r="CL19" s="277">
        <f t="shared" si="32"/>
        <v>4.4391488813570239E-2</v>
      </c>
      <c r="CM19" s="277">
        <f t="shared" si="32"/>
        <v>5.2048455706404241E-2</v>
      </c>
      <c r="CN19" s="276">
        <f t="shared" ref="CN19:CO19" si="33">CN18/CN7</f>
        <v>5.7427878201290451E-2</v>
      </c>
      <c r="CO19" s="277">
        <f t="shared" si="33"/>
        <v>6.47518240501848E-2</v>
      </c>
      <c r="CP19" s="276">
        <f t="shared" si="32"/>
        <v>7.8619495734109368E-2</v>
      </c>
      <c r="CQ19" s="276">
        <f t="shared" si="32"/>
        <v>7.91459140766088E-2</v>
      </c>
      <c r="CR19" s="276">
        <f t="shared" ref="CR19:CS19" si="34">CR18/CR7</f>
        <v>8.0164875284407369E-2</v>
      </c>
      <c r="CS19" s="276">
        <f t="shared" si="34"/>
        <v>7.7959791662856368E-2</v>
      </c>
      <c r="CT19" s="276">
        <f t="shared" ref="CT19:CU19" si="35">CT18/CT7</f>
        <v>7.6954857901287491E-2</v>
      </c>
      <c r="CU19" s="276">
        <f t="shared" si="35"/>
        <v>7.5015988324423605E-2</v>
      </c>
      <c r="CV19" s="276">
        <f t="shared" ref="CV19:CW19" si="36">CV18/CV7</f>
        <v>0.12358025163486175</v>
      </c>
      <c r="CW19" s="276">
        <f t="shared" si="36"/>
        <v>6.7346646825718712E-2</v>
      </c>
      <c r="CX19" s="276">
        <f t="shared" ref="CX19:CY19" si="37">CX18/CX7</f>
        <v>9.6521348018780997E-2</v>
      </c>
      <c r="CY19" s="278">
        <f t="shared" si="37"/>
        <v>5.569678084438405E-2</v>
      </c>
      <c r="DD19" s="244" t="s">
        <v>148</v>
      </c>
      <c r="DE19" s="245"/>
      <c r="DF19" s="245"/>
      <c r="DG19" s="644" t="s">
        <v>520</v>
      </c>
      <c r="DH19" s="293" t="s">
        <v>516</v>
      </c>
      <c r="DI19" s="416" t="s">
        <v>518</v>
      </c>
      <c r="DJ19" s="293" t="s">
        <v>517</v>
      </c>
      <c r="DK19" s="293" t="s">
        <v>515</v>
      </c>
      <c r="DL19" s="402" t="s">
        <v>519</v>
      </c>
      <c r="DM19" s="254" t="s">
        <v>514</v>
      </c>
      <c r="DN19" s="254" t="s">
        <v>479</v>
      </c>
      <c r="DO19" s="254" t="s">
        <v>480</v>
      </c>
      <c r="DP19" s="254" t="s">
        <v>513</v>
      </c>
      <c r="DQ19" s="255" t="s">
        <v>478</v>
      </c>
    </row>
    <row r="20" spans="1:121" ht="23.1" customHeight="1" thickBot="1">
      <c r="A20" s="280" t="s">
        <v>162</v>
      </c>
      <c r="B20" s="257" t="s">
        <v>206</v>
      </c>
      <c r="C20" s="288" t="s">
        <v>206</v>
      </c>
      <c r="D20" s="288" t="s">
        <v>206</v>
      </c>
      <c r="E20" s="288" t="s">
        <v>206</v>
      </c>
      <c r="F20" s="288" t="s">
        <v>206</v>
      </c>
      <c r="G20" s="288" t="s">
        <v>206</v>
      </c>
      <c r="H20" s="288" t="s">
        <v>206</v>
      </c>
      <c r="I20" s="288" t="s">
        <v>206</v>
      </c>
      <c r="J20" s="288" t="s">
        <v>206</v>
      </c>
      <c r="K20" s="288" t="s">
        <v>206</v>
      </c>
      <c r="L20" s="288" t="s">
        <v>206</v>
      </c>
      <c r="M20" s="288" t="s">
        <v>206</v>
      </c>
      <c r="N20" s="288" t="s">
        <v>206</v>
      </c>
      <c r="O20" s="288" t="s">
        <v>206</v>
      </c>
      <c r="P20" s="288" t="s">
        <v>206</v>
      </c>
      <c r="Q20" s="288" t="s">
        <v>206</v>
      </c>
      <c r="R20" s="288" t="s">
        <v>206</v>
      </c>
      <c r="S20" s="288" t="s">
        <v>206</v>
      </c>
      <c r="T20" s="258">
        <v>75.651583000000002</v>
      </c>
      <c r="U20" s="258">
        <v>51.802129999999998</v>
      </c>
      <c r="V20" s="258">
        <v>62.480265000000003</v>
      </c>
      <c r="W20" s="258">
        <v>196.047134</v>
      </c>
      <c r="X20" s="258">
        <v>70.244493000000006</v>
      </c>
      <c r="Y20" s="258">
        <v>89.631628000000006</v>
      </c>
      <c r="Z20" s="258">
        <v>96.644254000000004</v>
      </c>
      <c r="AA20" s="258">
        <v>30.059784000000001</v>
      </c>
      <c r="AB20" s="259">
        <v>64.839962999999997</v>
      </c>
      <c r="AC20" s="259">
        <v>441.30333100000001</v>
      </c>
      <c r="AD20" s="259">
        <v>134.48288700000001</v>
      </c>
      <c r="AE20" s="258">
        <v>41.544595999999999</v>
      </c>
      <c r="AF20" s="258">
        <v>167.77319299999999</v>
      </c>
      <c r="AG20" s="258">
        <v>129.03308000000001</v>
      </c>
      <c r="AH20" s="260">
        <v>88.043031999999997</v>
      </c>
      <c r="AI20" s="280" t="s">
        <v>162</v>
      </c>
      <c r="AJ20" s="261">
        <v>516.43870800000002</v>
      </c>
      <c r="AK20" s="259">
        <v>359.19476900000001</v>
      </c>
      <c r="AL20" s="258">
        <v>76.506269000000003</v>
      </c>
      <c r="AM20" s="258">
        <v>134.96700000000001</v>
      </c>
      <c r="AN20" s="258">
        <v>501.22399999999999</v>
      </c>
      <c r="AO20" s="258">
        <v>202.99199999999999</v>
      </c>
      <c r="AP20" s="258">
        <v>257.56</v>
      </c>
      <c r="AQ20" s="258">
        <v>396.55900000000003</v>
      </c>
      <c r="AR20" s="258">
        <v>188.77</v>
      </c>
      <c r="AS20" s="258">
        <v>18.678999999999998</v>
      </c>
      <c r="AT20" s="258">
        <v>5.0019999999999998</v>
      </c>
      <c r="AU20" s="258">
        <v>460.87956600000001</v>
      </c>
      <c r="AV20" s="258">
        <v>26.088851999999999</v>
      </c>
      <c r="AW20" s="258">
        <v>25.970973999999998</v>
      </c>
      <c r="AX20" s="258">
        <v>65.834545000000006</v>
      </c>
      <c r="AY20" s="258">
        <v>169.458619</v>
      </c>
      <c r="AZ20" s="258">
        <v>24.718274000000001</v>
      </c>
      <c r="BA20" s="258">
        <v>5.8588389999999997</v>
      </c>
      <c r="BB20" s="258">
        <v>36.345871000000002</v>
      </c>
      <c r="BC20" s="258">
        <v>131.78791200000001</v>
      </c>
      <c r="BD20" s="259">
        <v>276.01912399999998</v>
      </c>
      <c r="BE20" s="258">
        <v>22.123265</v>
      </c>
      <c r="BF20" s="259">
        <v>507.80086399999999</v>
      </c>
      <c r="BG20" s="258">
        <v>250</v>
      </c>
      <c r="BH20" s="259">
        <v>405.55466200000001</v>
      </c>
      <c r="BI20" s="258">
        <v>89</v>
      </c>
      <c r="BJ20" s="259">
        <v>1483.4355390000001</v>
      </c>
      <c r="BK20" s="258">
        <v>156</v>
      </c>
      <c r="BL20" s="259">
        <v>291.06529399999999</v>
      </c>
      <c r="BM20" s="258">
        <v>2598</v>
      </c>
      <c r="BN20" s="259">
        <v>2710</v>
      </c>
      <c r="BO20" s="262">
        <v>5365</v>
      </c>
      <c r="BP20" s="260">
        <v>5581</v>
      </c>
      <c r="BQ20" s="280" t="s">
        <v>162</v>
      </c>
      <c r="BR20" s="261">
        <v>3222</v>
      </c>
      <c r="BS20" s="259">
        <v>4117</v>
      </c>
      <c r="BT20" s="258">
        <v>1808</v>
      </c>
      <c r="BU20" s="259">
        <v>1382</v>
      </c>
      <c r="BV20" s="258">
        <v>138</v>
      </c>
      <c r="BW20" s="259">
        <v>141</v>
      </c>
      <c r="BX20" s="262">
        <v>11284</v>
      </c>
      <c r="BY20" s="259">
        <v>11455</v>
      </c>
      <c r="BZ20" s="258">
        <v>235</v>
      </c>
      <c r="CA20" s="259">
        <v>419</v>
      </c>
      <c r="CB20" s="262">
        <v>2723</v>
      </c>
      <c r="CC20" s="259">
        <v>2869</v>
      </c>
      <c r="CD20" s="258">
        <v>42</v>
      </c>
      <c r="CE20" s="259">
        <v>132</v>
      </c>
      <c r="CF20" s="262">
        <v>52</v>
      </c>
      <c r="CG20" s="259">
        <v>59</v>
      </c>
      <c r="CH20" s="262">
        <v>3203</v>
      </c>
      <c r="CI20" s="259">
        <v>3236</v>
      </c>
      <c r="CJ20" s="258">
        <v>571</v>
      </c>
      <c r="CK20" s="259">
        <v>3174</v>
      </c>
      <c r="CL20" s="258">
        <v>121</v>
      </c>
      <c r="CM20" s="258">
        <v>114</v>
      </c>
      <c r="CN20" s="258">
        <v>1354.8689859999999</v>
      </c>
      <c r="CO20" s="259">
        <v>1429.3668479999999</v>
      </c>
      <c r="CP20" s="258">
        <v>427.84001599999999</v>
      </c>
      <c r="CQ20" s="258">
        <v>481.04881899999998</v>
      </c>
      <c r="CR20" s="258">
        <v>1065</v>
      </c>
      <c r="CS20" s="258">
        <v>1071</v>
      </c>
      <c r="CT20" s="258">
        <v>470</v>
      </c>
      <c r="CU20" s="258">
        <v>455</v>
      </c>
      <c r="CV20" s="258">
        <v>3828</v>
      </c>
      <c r="CW20" s="258">
        <v>4602</v>
      </c>
      <c r="CX20" s="258">
        <v>6229</v>
      </c>
      <c r="CY20" s="260">
        <v>8460</v>
      </c>
      <c r="DD20" s="244"/>
      <c r="DE20" s="245"/>
      <c r="DF20" s="245"/>
      <c r="DG20" s="645"/>
      <c r="DH20" s="294">
        <v>29820</v>
      </c>
      <c r="DI20" s="415">
        <v>29722</v>
      </c>
      <c r="DJ20" s="294">
        <v>28571</v>
      </c>
      <c r="DK20" s="294">
        <v>27878</v>
      </c>
      <c r="DL20" s="403">
        <v>27320</v>
      </c>
      <c r="DM20" s="265">
        <v>17541</v>
      </c>
      <c r="DN20" s="265">
        <v>17221</v>
      </c>
      <c r="DO20" s="265">
        <v>16948</v>
      </c>
      <c r="DP20" s="265">
        <v>15609</v>
      </c>
      <c r="DQ20" s="266">
        <v>14195</v>
      </c>
    </row>
    <row r="21" spans="1:121" ht="23.1" customHeight="1">
      <c r="A21" s="280" t="s">
        <v>163</v>
      </c>
      <c r="B21" s="257" t="s">
        <v>206</v>
      </c>
      <c r="C21" s="288" t="s">
        <v>206</v>
      </c>
      <c r="D21" s="288" t="s">
        <v>206</v>
      </c>
      <c r="E21" s="288" t="s">
        <v>206</v>
      </c>
      <c r="F21" s="288" t="s">
        <v>206</v>
      </c>
      <c r="G21" s="288" t="s">
        <v>206</v>
      </c>
      <c r="H21" s="288" t="s">
        <v>206</v>
      </c>
      <c r="I21" s="288" t="s">
        <v>206</v>
      </c>
      <c r="J21" s="288">
        <v>5.7846789999999997</v>
      </c>
      <c r="K21" s="302" t="s">
        <v>206</v>
      </c>
      <c r="L21" s="302" t="s">
        <v>206</v>
      </c>
      <c r="M21" s="302" t="s">
        <v>206</v>
      </c>
      <c r="N21" s="302" t="s">
        <v>206</v>
      </c>
      <c r="O21" s="302" t="s">
        <v>206</v>
      </c>
      <c r="P21" s="302" t="s">
        <v>206</v>
      </c>
      <c r="Q21" s="302" t="s">
        <v>206</v>
      </c>
      <c r="R21" s="302" t="s">
        <v>206</v>
      </c>
      <c r="S21" s="302" t="s">
        <v>206</v>
      </c>
      <c r="T21" s="258">
        <v>121.091002</v>
      </c>
      <c r="U21" s="258">
        <v>145.833428</v>
      </c>
      <c r="V21" s="258">
        <v>126.584346</v>
      </c>
      <c r="W21" s="258">
        <v>89.828089000000006</v>
      </c>
      <c r="X21" s="258">
        <v>143.03009700000001</v>
      </c>
      <c r="Y21" s="258">
        <v>139.44791599999999</v>
      </c>
      <c r="Z21" s="258">
        <v>101.576097</v>
      </c>
      <c r="AA21" s="258">
        <v>152.95098999999999</v>
      </c>
      <c r="AB21" s="259">
        <v>48.350518000000001</v>
      </c>
      <c r="AC21" s="259">
        <v>153.30533800000001</v>
      </c>
      <c r="AD21" s="259">
        <v>108.692843</v>
      </c>
      <c r="AE21" s="258">
        <v>225.39650900000001</v>
      </c>
      <c r="AF21" s="258">
        <v>444.20710300000002</v>
      </c>
      <c r="AG21" s="258">
        <v>189.23839899999999</v>
      </c>
      <c r="AH21" s="260">
        <v>430.73419999999999</v>
      </c>
      <c r="AI21" s="280" t="s">
        <v>163</v>
      </c>
      <c r="AJ21" s="261">
        <v>983.41254800000002</v>
      </c>
      <c r="AK21" s="259">
        <v>332.43400600000001</v>
      </c>
      <c r="AL21" s="258">
        <v>352.77079700000002</v>
      </c>
      <c r="AM21" s="258">
        <v>349.185</v>
      </c>
      <c r="AN21" s="258">
        <v>128.12899999999999</v>
      </c>
      <c r="AO21" s="258">
        <v>239.63900000000001</v>
      </c>
      <c r="AP21" s="258">
        <v>179.99700000000001</v>
      </c>
      <c r="AQ21" s="258">
        <v>116.851</v>
      </c>
      <c r="AR21" s="258">
        <v>81.870999999999995</v>
      </c>
      <c r="AS21" s="258">
        <v>31.997</v>
      </c>
      <c r="AT21" s="258">
        <v>219.227</v>
      </c>
      <c r="AU21" s="258">
        <v>693.73887400000001</v>
      </c>
      <c r="AV21" s="258">
        <v>643.53187000000003</v>
      </c>
      <c r="AW21" s="258">
        <v>1834.687993</v>
      </c>
      <c r="AX21" s="258">
        <v>943.74123199999997</v>
      </c>
      <c r="AY21" s="258">
        <v>1671.671423</v>
      </c>
      <c r="AZ21" s="258">
        <v>1362.1347390000001</v>
      </c>
      <c r="BA21" s="258">
        <v>1538.9509109999999</v>
      </c>
      <c r="BB21" s="258">
        <v>1144.5148569999999</v>
      </c>
      <c r="BC21" s="258">
        <v>1651.437101</v>
      </c>
      <c r="BD21" s="259">
        <v>39709.189588000001</v>
      </c>
      <c r="BE21" s="258">
        <v>18408.217611</v>
      </c>
      <c r="BF21" s="259">
        <v>19779.004045999998</v>
      </c>
      <c r="BG21" s="258">
        <v>6265</v>
      </c>
      <c r="BH21" s="259">
        <v>10518.176750000001</v>
      </c>
      <c r="BI21" s="258">
        <v>7826</v>
      </c>
      <c r="BJ21" s="259">
        <v>8123.59501</v>
      </c>
      <c r="BK21" s="258">
        <v>3017</v>
      </c>
      <c r="BL21" s="259">
        <v>3300.7403949999998</v>
      </c>
      <c r="BM21" s="258">
        <v>3160</v>
      </c>
      <c r="BN21" s="259">
        <v>3899</v>
      </c>
      <c r="BO21" s="262">
        <v>7857</v>
      </c>
      <c r="BP21" s="260">
        <v>9361</v>
      </c>
      <c r="BQ21" s="280" t="s">
        <v>163</v>
      </c>
      <c r="BR21" s="261">
        <v>6193</v>
      </c>
      <c r="BS21" s="259">
        <v>6311</v>
      </c>
      <c r="BT21" s="258">
        <v>2238</v>
      </c>
      <c r="BU21" s="259">
        <v>2803</v>
      </c>
      <c r="BV21" s="258">
        <v>16940</v>
      </c>
      <c r="BW21" s="259">
        <v>18694</v>
      </c>
      <c r="BX21" s="262">
        <v>12793</v>
      </c>
      <c r="BY21" s="259">
        <v>12457</v>
      </c>
      <c r="BZ21" s="258">
        <v>1728</v>
      </c>
      <c r="CA21" s="259">
        <v>1923</v>
      </c>
      <c r="CB21" s="262">
        <v>6266</v>
      </c>
      <c r="CC21" s="259">
        <v>6869</v>
      </c>
      <c r="CD21" s="258">
        <v>1099</v>
      </c>
      <c r="CE21" s="259">
        <v>1326</v>
      </c>
      <c r="CF21" s="262">
        <v>539</v>
      </c>
      <c r="CG21" s="259">
        <v>597</v>
      </c>
      <c r="CH21" s="262">
        <v>2587</v>
      </c>
      <c r="CI21" s="259">
        <v>2663</v>
      </c>
      <c r="CJ21" s="258">
        <v>709</v>
      </c>
      <c r="CK21" s="259">
        <v>800</v>
      </c>
      <c r="CL21" s="258">
        <v>1657</v>
      </c>
      <c r="CM21" s="258">
        <v>1541</v>
      </c>
      <c r="CN21" s="258">
        <v>687.77272400000004</v>
      </c>
      <c r="CO21" s="259">
        <v>882.06771900000001</v>
      </c>
      <c r="CP21" s="258">
        <v>1324.061725</v>
      </c>
      <c r="CQ21" s="258">
        <v>1316.4182499999999</v>
      </c>
      <c r="CR21" s="258">
        <v>3439</v>
      </c>
      <c r="CS21" s="258">
        <v>3223</v>
      </c>
      <c r="CT21" s="258">
        <v>2552</v>
      </c>
      <c r="CU21" s="258">
        <v>10622</v>
      </c>
      <c r="CV21" s="258">
        <v>1056</v>
      </c>
      <c r="CW21" s="258">
        <v>1715</v>
      </c>
      <c r="CX21" s="258">
        <v>3688</v>
      </c>
      <c r="CY21" s="260">
        <v>1972</v>
      </c>
      <c r="DD21" s="244"/>
      <c r="DE21" s="245"/>
      <c r="DF21" s="245"/>
      <c r="DG21" s="646" t="s">
        <v>521</v>
      </c>
      <c r="DH21" s="414" t="s">
        <v>518</v>
      </c>
      <c r="DI21" s="409" t="s">
        <v>519</v>
      </c>
      <c r="DJ21" s="297" t="s">
        <v>516</v>
      </c>
      <c r="DK21" s="297" t="s">
        <v>515</v>
      </c>
      <c r="DL21" s="297" t="s">
        <v>517</v>
      </c>
      <c r="DM21" s="297" t="s">
        <v>514</v>
      </c>
      <c r="DN21" s="297" t="s">
        <v>513</v>
      </c>
      <c r="DO21" s="297" t="s">
        <v>498</v>
      </c>
      <c r="DP21" s="297" t="s">
        <v>497</v>
      </c>
      <c r="DQ21" s="255" t="s">
        <v>512</v>
      </c>
    </row>
    <row r="22" spans="1:121" ht="23.1" customHeight="1" thickBot="1">
      <c r="A22" s="267" t="s">
        <v>164</v>
      </c>
      <c r="B22" s="303" t="s">
        <v>206</v>
      </c>
      <c r="C22" s="299" t="s">
        <v>206</v>
      </c>
      <c r="D22" s="299" t="s">
        <v>206</v>
      </c>
      <c r="E22" s="299" t="s">
        <v>206</v>
      </c>
      <c r="F22" s="299" t="s">
        <v>206</v>
      </c>
      <c r="G22" s="299" t="s">
        <v>206</v>
      </c>
      <c r="H22" s="299" t="s">
        <v>206</v>
      </c>
      <c r="I22" s="299" t="s">
        <v>206</v>
      </c>
      <c r="J22" s="298">
        <f>-J21</f>
        <v>-5.7846789999999997</v>
      </c>
      <c r="K22" s="288" t="s">
        <v>206</v>
      </c>
      <c r="L22" s="288" t="s">
        <v>206</v>
      </c>
      <c r="M22" s="288" t="s">
        <v>206</v>
      </c>
      <c r="N22" s="288" t="s">
        <v>206</v>
      </c>
      <c r="O22" s="288" t="s">
        <v>206</v>
      </c>
      <c r="P22" s="288" t="s">
        <v>206</v>
      </c>
      <c r="Q22" s="288" t="s">
        <v>206</v>
      </c>
      <c r="R22" s="288" t="s">
        <v>206</v>
      </c>
      <c r="S22" s="288" t="s">
        <v>206</v>
      </c>
      <c r="T22" s="269">
        <f>T20-T21</f>
        <v>-45.439419000000001</v>
      </c>
      <c r="U22" s="269">
        <f t="shared" ref="U22:CH22" si="38">U20-U21</f>
        <v>-94.031297999999992</v>
      </c>
      <c r="V22" s="269">
        <f t="shared" si="38"/>
        <v>-64.104080999999994</v>
      </c>
      <c r="W22" s="269">
        <f t="shared" si="38"/>
        <v>106.21904499999999</v>
      </c>
      <c r="X22" s="269">
        <f t="shared" si="38"/>
        <v>-72.785604000000006</v>
      </c>
      <c r="Y22" s="269">
        <f t="shared" si="38"/>
        <v>-49.816287999999986</v>
      </c>
      <c r="Z22" s="269">
        <f t="shared" si="38"/>
        <v>-4.9318430000000006</v>
      </c>
      <c r="AA22" s="269">
        <f t="shared" si="38"/>
        <v>-122.89120599999998</v>
      </c>
      <c r="AB22" s="92">
        <f t="shared" si="38"/>
        <v>16.489444999999996</v>
      </c>
      <c r="AC22" s="92">
        <f t="shared" si="38"/>
        <v>287.99799300000001</v>
      </c>
      <c r="AD22" s="92">
        <f t="shared" si="38"/>
        <v>25.790044000000009</v>
      </c>
      <c r="AE22" s="269">
        <f t="shared" si="38"/>
        <v>-183.85191300000002</v>
      </c>
      <c r="AF22" s="269">
        <f t="shared" si="38"/>
        <v>-276.43391000000003</v>
      </c>
      <c r="AG22" s="269">
        <f t="shared" si="38"/>
        <v>-60.205318999999974</v>
      </c>
      <c r="AH22" s="270">
        <f t="shared" si="38"/>
        <v>-342.691168</v>
      </c>
      <c r="AI22" s="267" t="s">
        <v>164</v>
      </c>
      <c r="AJ22" s="271">
        <f t="shared" si="38"/>
        <v>-466.97384</v>
      </c>
      <c r="AK22" s="92">
        <f t="shared" si="38"/>
        <v>26.760762999999997</v>
      </c>
      <c r="AL22" s="269">
        <f t="shared" si="38"/>
        <v>-276.26452800000004</v>
      </c>
      <c r="AM22" s="269">
        <f t="shared" si="38"/>
        <v>-214.21799999999999</v>
      </c>
      <c r="AN22" s="269">
        <f t="shared" si="38"/>
        <v>373.09500000000003</v>
      </c>
      <c r="AO22" s="269">
        <f t="shared" si="38"/>
        <v>-36.64700000000002</v>
      </c>
      <c r="AP22" s="269">
        <f t="shared" si="38"/>
        <v>77.562999999999988</v>
      </c>
      <c r="AQ22" s="269">
        <f t="shared" si="38"/>
        <v>279.70800000000003</v>
      </c>
      <c r="AR22" s="269">
        <f t="shared" si="38"/>
        <v>106.89900000000002</v>
      </c>
      <c r="AS22" s="269">
        <f t="shared" si="38"/>
        <v>-13.318000000000001</v>
      </c>
      <c r="AT22" s="269">
        <f t="shared" si="38"/>
        <v>-214.22499999999999</v>
      </c>
      <c r="AU22" s="269">
        <f t="shared" si="38"/>
        <v>-232.859308</v>
      </c>
      <c r="AV22" s="269">
        <f t="shared" si="38"/>
        <v>-617.44301800000005</v>
      </c>
      <c r="AW22" s="269">
        <f t="shared" si="38"/>
        <v>-1808.7170189999999</v>
      </c>
      <c r="AX22" s="269">
        <f t="shared" si="38"/>
        <v>-877.90668699999992</v>
      </c>
      <c r="AY22" s="269">
        <f t="shared" si="38"/>
        <v>-1502.212804</v>
      </c>
      <c r="AZ22" s="269">
        <f t="shared" si="38"/>
        <v>-1337.416465</v>
      </c>
      <c r="BA22" s="269">
        <f t="shared" si="38"/>
        <v>-1533.0920719999999</v>
      </c>
      <c r="BB22" s="269">
        <f t="shared" si="38"/>
        <v>-1108.1689859999999</v>
      </c>
      <c r="BC22" s="269">
        <f t="shared" si="38"/>
        <v>-1519.649189</v>
      </c>
      <c r="BD22" s="269">
        <f t="shared" si="38"/>
        <v>-39433.170464000003</v>
      </c>
      <c r="BE22" s="269">
        <f t="shared" si="38"/>
        <v>-18386.094346000002</v>
      </c>
      <c r="BF22" s="92">
        <f t="shared" si="38"/>
        <v>-19271.203181999997</v>
      </c>
      <c r="BG22" s="269">
        <f t="shared" si="38"/>
        <v>-6015</v>
      </c>
      <c r="BH22" s="269">
        <f t="shared" si="38"/>
        <v>-10112.622088</v>
      </c>
      <c r="BI22" s="269">
        <f t="shared" si="38"/>
        <v>-7737</v>
      </c>
      <c r="BJ22" s="92">
        <f t="shared" si="38"/>
        <v>-6640.1594709999999</v>
      </c>
      <c r="BK22" s="269">
        <f t="shared" si="38"/>
        <v>-2861</v>
      </c>
      <c r="BL22" s="92">
        <f t="shared" si="38"/>
        <v>-3009.6751009999998</v>
      </c>
      <c r="BM22" s="269">
        <f t="shared" si="38"/>
        <v>-562</v>
      </c>
      <c r="BN22" s="269">
        <f t="shared" si="38"/>
        <v>-1189</v>
      </c>
      <c r="BO22" s="269">
        <f t="shared" si="38"/>
        <v>-2492</v>
      </c>
      <c r="BP22" s="270">
        <f t="shared" si="38"/>
        <v>-3780</v>
      </c>
      <c r="BQ22" s="267" t="s">
        <v>164</v>
      </c>
      <c r="BR22" s="271">
        <f t="shared" si="38"/>
        <v>-2971</v>
      </c>
      <c r="BS22" s="269">
        <f t="shared" si="38"/>
        <v>-2194</v>
      </c>
      <c r="BT22" s="269">
        <f t="shared" si="38"/>
        <v>-430</v>
      </c>
      <c r="BU22" s="92">
        <f t="shared" si="38"/>
        <v>-1421</v>
      </c>
      <c r="BV22" s="269">
        <f t="shared" si="38"/>
        <v>-16802</v>
      </c>
      <c r="BW22" s="269">
        <f t="shared" si="38"/>
        <v>-18553</v>
      </c>
      <c r="BX22" s="269">
        <f t="shared" si="38"/>
        <v>-1509</v>
      </c>
      <c r="BY22" s="269">
        <f t="shared" si="38"/>
        <v>-1002</v>
      </c>
      <c r="BZ22" s="269">
        <f t="shared" si="38"/>
        <v>-1493</v>
      </c>
      <c r="CA22" s="269">
        <f t="shared" si="38"/>
        <v>-1504</v>
      </c>
      <c r="CB22" s="269">
        <f t="shared" si="38"/>
        <v>-3543</v>
      </c>
      <c r="CC22" s="269">
        <f t="shared" si="38"/>
        <v>-4000</v>
      </c>
      <c r="CD22" s="269">
        <f t="shared" si="38"/>
        <v>-1057</v>
      </c>
      <c r="CE22" s="269">
        <f t="shared" si="38"/>
        <v>-1194</v>
      </c>
      <c r="CF22" s="269">
        <f t="shared" si="38"/>
        <v>-487</v>
      </c>
      <c r="CG22" s="92">
        <f t="shared" si="38"/>
        <v>-538</v>
      </c>
      <c r="CH22" s="269">
        <f t="shared" si="38"/>
        <v>616</v>
      </c>
      <c r="CI22" s="92">
        <f t="shared" ref="CI22:CQ22" si="39">CI20-CI21</f>
        <v>573</v>
      </c>
      <c r="CJ22" s="269">
        <f t="shared" si="39"/>
        <v>-138</v>
      </c>
      <c r="CK22" s="92">
        <f t="shared" si="39"/>
        <v>2374</v>
      </c>
      <c r="CL22" s="269">
        <f t="shared" si="39"/>
        <v>-1536</v>
      </c>
      <c r="CM22" s="92">
        <f t="shared" si="39"/>
        <v>-1427</v>
      </c>
      <c r="CN22" s="269">
        <f t="shared" ref="CN22:CO22" si="40">CN20-CN21</f>
        <v>667.09626199999991</v>
      </c>
      <c r="CO22" s="92">
        <f t="shared" si="40"/>
        <v>547.29912899999988</v>
      </c>
      <c r="CP22" s="269">
        <f t="shared" si="39"/>
        <v>-896.22170900000003</v>
      </c>
      <c r="CQ22" s="269">
        <f t="shared" si="39"/>
        <v>-835.36943099999996</v>
      </c>
      <c r="CR22" s="269">
        <f>CR20-CR21+1</f>
        <v>-2373</v>
      </c>
      <c r="CS22" s="269">
        <f t="shared" ref="CS22:CU22" si="41">CS20-CS21</f>
        <v>-2152</v>
      </c>
      <c r="CT22" s="269">
        <f>CT20-CT21+1</f>
        <v>-2081</v>
      </c>
      <c r="CU22" s="269">
        <f t="shared" si="41"/>
        <v>-10167</v>
      </c>
      <c r="CV22" s="269">
        <f>CV20-CV21-1</f>
        <v>2771</v>
      </c>
      <c r="CW22" s="269">
        <f t="shared" ref="CW22:CY22" si="42">CW20-CW21</f>
        <v>2887</v>
      </c>
      <c r="CX22" s="269">
        <f>CX20-CX21</f>
        <v>2541</v>
      </c>
      <c r="CY22" s="270">
        <f t="shared" si="42"/>
        <v>6488</v>
      </c>
      <c r="DD22" s="244"/>
      <c r="DE22" s="245"/>
      <c r="DF22" s="245"/>
      <c r="DG22" s="645"/>
      <c r="DH22" s="415">
        <v>46343</v>
      </c>
      <c r="DI22" s="396">
        <v>37489</v>
      </c>
      <c r="DJ22" s="265">
        <v>35944</v>
      </c>
      <c r="DK22" s="265">
        <v>35387</v>
      </c>
      <c r="DL22" s="265">
        <v>34045</v>
      </c>
      <c r="DM22" s="265">
        <v>23104</v>
      </c>
      <c r="DN22" s="265">
        <v>18703</v>
      </c>
      <c r="DO22" s="265">
        <v>13130</v>
      </c>
      <c r="DP22" s="265">
        <v>11670</v>
      </c>
      <c r="DQ22" s="266">
        <v>10978</v>
      </c>
    </row>
    <row r="23" spans="1:121" ht="23.1" customHeight="1" thickBot="1">
      <c r="A23" s="267" t="s">
        <v>165</v>
      </c>
      <c r="B23" s="268" t="str">
        <f t="shared" ref="B23:R23" si="43">B18</f>
        <v>-</v>
      </c>
      <c r="C23" s="269">
        <f t="shared" si="43"/>
        <v>0.12361164999999597</v>
      </c>
      <c r="D23" s="269">
        <f t="shared" si="43"/>
        <v>2.0608262999999996</v>
      </c>
      <c r="E23" s="269">
        <f t="shared" si="43"/>
        <v>7.2730029999999974</v>
      </c>
      <c r="F23" s="269">
        <f t="shared" si="43"/>
        <v>9.9509053999999999</v>
      </c>
      <c r="G23" s="269">
        <f t="shared" si="43"/>
        <v>12.895026949999997</v>
      </c>
      <c r="H23" s="269">
        <f t="shared" si="43"/>
        <v>11.043245000000004</v>
      </c>
      <c r="I23" s="269">
        <f t="shared" si="43"/>
        <v>52.911821999999994</v>
      </c>
      <c r="J23" s="269">
        <f>J18-J21</f>
        <v>119.77092799999998</v>
      </c>
      <c r="K23" s="269">
        <f t="shared" si="43"/>
        <v>161.19442400000003</v>
      </c>
      <c r="L23" s="269">
        <f t="shared" si="43"/>
        <v>248.70464700000002</v>
      </c>
      <c r="M23" s="269">
        <f t="shared" si="43"/>
        <v>221.38860199999999</v>
      </c>
      <c r="N23" s="269">
        <f t="shared" si="43"/>
        <v>373.31413599999985</v>
      </c>
      <c r="O23" s="269">
        <f t="shared" si="43"/>
        <v>697.36939700000005</v>
      </c>
      <c r="P23" s="269">
        <f t="shared" si="43"/>
        <v>1400.1167640000001</v>
      </c>
      <c r="Q23" s="269">
        <f t="shared" si="43"/>
        <v>1071.307168</v>
      </c>
      <c r="R23" s="269">
        <f t="shared" si="43"/>
        <v>1222.6738249999999</v>
      </c>
      <c r="S23" s="269">
        <f>S18</f>
        <v>1614.6126220000001</v>
      </c>
      <c r="T23" s="269">
        <f t="shared" ref="T23:Z23" si="44">T18+T20-T21</f>
        <v>1931.4444939999998</v>
      </c>
      <c r="U23" s="269">
        <f t="shared" si="44"/>
        <v>2058.4667770000001</v>
      </c>
      <c r="V23" s="269">
        <f t="shared" si="44"/>
        <v>2122.3192480000002</v>
      </c>
      <c r="W23" s="269">
        <f t="shared" si="44"/>
        <v>2158.7352089999999</v>
      </c>
      <c r="X23" s="269">
        <f t="shared" si="44"/>
        <v>2284.5838280000007</v>
      </c>
      <c r="Y23" s="269">
        <f t="shared" si="44"/>
        <v>3293.6321790000002</v>
      </c>
      <c r="Z23" s="269">
        <f t="shared" si="44"/>
        <v>5404.1279709999999</v>
      </c>
      <c r="AA23" s="269">
        <f>AA18+AA20-AA21</f>
        <v>5633.460642</v>
      </c>
      <c r="AB23" s="92">
        <f>AB18+AB20-AB21</f>
        <v>6629.7188239999996</v>
      </c>
      <c r="AC23" s="92">
        <f>AC18+AC20-AC21</f>
        <v>6273.4248789999992</v>
      </c>
      <c r="AD23" s="92">
        <f>AD18+AD20-AD21</f>
        <v>6544.9098270000013</v>
      </c>
      <c r="AE23" s="269">
        <f t="shared" ref="AE23:AK23" si="45">AE18+AE20-AE21</f>
        <v>9256.7342000000008</v>
      </c>
      <c r="AF23" s="269">
        <f t="shared" si="45"/>
        <v>10747.739698000001</v>
      </c>
      <c r="AG23" s="269">
        <f t="shared" si="45"/>
        <v>9494.5235682999992</v>
      </c>
      <c r="AH23" s="270">
        <f t="shared" si="45"/>
        <v>11927.012564000001</v>
      </c>
      <c r="AI23" s="267" t="s">
        <v>165</v>
      </c>
      <c r="AJ23" s="271">
        <f t="shared" si="45"/>
        <v>12920.279521999999</v>
      </c>
      <c r="AK23" s="92">
        <f t="shared" si="45"/>
        <v>12988.713625999999</v>
      </c>
      <c r="AL23" s="269">
        <f t="shared" ref="AL23:AS23" si="46">AL18+AL20-AL21</f>
        <v>16423.936035999999</v>
      </c>
      <c r="AM23" s="269">
        <f t="shared" si="46"/>
        <v>20479.501</v>
      </c>
      <c r="AN23" s="269">
        <f t="shared" si="46"/>
        <v>19900.471999999998</v>
      </c>
      <c r="AO23" s="269">
        <f t="shared" si="46"/>
        <v>18983.148000000001</v>
      </c>
      <c r="AP23" s="269">
        <f t="shared" si="46"/>
        <v>15628.426000000003</v>
      </c>
      <c r="AQ23" s="269">
        <f t="shared" si="46"/>
        <v>10640.23</v>
      </c>
      <c r="AR23" s="269">
        <f t="shared" si="46"/>
        <v>11461.993</v>
      </c>
      <c r="AS23" s="269">
        <f t="shared" si="46"/>
        <v>4265.6350000000011</v>
      </c>
      <c r="AT23" s="269">
        <f t="shared" ref="AT23:BA23" si="47">AT18+AT20-AT21</f>
        <v>12287.995999999997</v>
      </c>
      <c r="AU23" s="269">
        <f t="shared" si="47"/>
        <v>13377.745564899998</v>
      </c>
      <c r="AV23" s="269">
        <f t="shared" si="47"/>
        <v>14618.069849999998</v>
      </c>
      <c r="AW23" s="269">
        <f t="shared" si="47"/>
        <v>13292.399692000005</v>
      </c>
      <c r="AX23" s="269">
        <f t="shared" si="47"/>
        <v>11737.110438000002</v>
      </c>
      <c r="AY23" s="269">
        <f t="shared" si="47"/>
        <v>11509.739573000003</v>
      </c>
      <c r="AZ23" s="269">
        <f t="shared" si="47"/>
        <v>11733.444810000005</v>
      </c>
      <c r="BA23" s="269">
        <f t="shared" si="47"/>
        <v>9658.7984450000004</v>
      </c>
      <c r="BB23" s="269">
        <f t="shared" ref="BB23:BC23" si="48">BB18+BB20-BB21</f>
        <v>6575.5716249999996</v>
      </c>
      <c r="BC23" s="269">
        <f t="shared" si="48"/>
        <v>6737.1428920000035</v>
      </c>
      <c r="BD23" s="92">
        <f>BD18+BD20-BD21+1</f>
        <v>-33072.662485000001</v>
      </c>
      <c r="BE23" s="269">
        <f>BE18+BE20-BE21+1</f>
        <v>-8925.6982679999965</v>
      </c>
      <c r="BF23" s="92">
        <f>BF18+BF20-BF21</f>
        <v>-8627.0799950000001</v>
      </c>
      <c r="BG23" s="269">
        <f>BG18+BG20-BG21-1</f>
        <v>5597</v>
      </c>
      <c r="BH23" s="92">
        <f>BH18+BH20-BH21</f>
        <v>3085.1594329999971</v>
      </c>
      <c r="BI23" s="269">
        <f>BI18+BI20-BI21+1</f>
        <v>839</v>
      </c>
      <c r="BJ23" s="92">
        <f>BJ18+BJ20-BJ21</f>
        <v>2605.1581359999991</v>
      </c>
      <c r="BK23" s="269">
        <f>BK18+BK20-BK21</f>
        <v>-9568</v>
      </c>
      <c r="BL23" s="92">
        <f>BL18+BL20-BL21</f>
        <v>-6327.4641109999957</v>
      </c>
      <c r="BM23" s="269">
        <f>BM18+BM20-BM21-1</f>
        <v>5000</v>
      </c>
      <c r="BN23" s="92">
        <f>BN18+BN20-BN21+1</f>
        <v>6213</v>
      </c>
      <c r="BO23" s="272">
        <f>BO18+BO20-BO21</f>
        <v>5500</v>
      </c>
      <c r="BP23" s="270">
        <f>BP18+BP20-BP21</f>
        <v>5423</v>
      </c>
      <c r="BQ23" s="267" t="s">
        <v>165</v>
      </c>
      <c r="BR23" s="271">
        <f>BR18+BR20-BR21</f>
        <v>4055</v>
      </c>
      <c r="BS23" s="92">
        <f>BS18+BS20-BS21+1</f>
        <v>7051</v>
      </c>
      <c r="BT23" s="269">
        <f>BT18+BT20-BT21+2</f>
        <v>-171</v>
      </c>
      <c r="BU23" s="92">
        <f>BU18+BU20-BU21</f>
        <v>559</v>
      </c>
      <c r="BV23" s="269">
        <f>BV18+BV20-BV21+1</f>
        <v>-20307</v>
      </c>
      <c r="BW23" s="92">
        <f>BW18+BW20-BW21</f>
        <v>-20864</v>
      </c>
      <c r="BX23" s="272">
        <f>BX18+BX20-BX21-1</f>
        <v>1815</v>
      </c>
      <c r="BY23" s="92">
        <f>BY18+BY20-BY21</f>
        <v>2910</v>
      </c>
      <c r="BZ23" s="269">
        <f>BZ18+BZ20-BZ21</f>
        <v>2652</v>
      </c>
      <c r="CA23" s="92">
        <f>CA18+CA20-CA21</f>
        <v>2065</v>
      </c>
      <c r="CB23" s="272">
        <f>CB18+CB20-CB21+1</f>
        <v>-2190</v>
      </c>
      <c r="CC23" s="92">
        <f>CC18+CC20-CC21+1</f>
        <v>-2639</v>
      </c>
      <c r="CD23" s="269">
        <f>CD18+CD20-CD21</f>
        <v>1825</v>
      </c>
      <c r="CE23" s="92">
        <f>CE18+CE20-CE21</f>
        <v>4096</v>
      </c>
      <c r="CF23" s="272">
        <f>CF18+CF20-CF21-1</f>
        <v>-8523</v>
      </c>
      <c r="CG23" s="92">
        <f>CG18+CG20-CG21</f>
        <v>-4764</v>
      </c>
      <c r="CH23" s="272">
        <f>CH18+CH20-CH21</f>
        <v>6356</v>
      </c>
      <c r="CI23" s="92">
        <f>CI18+CI20-CI21</f>
        <v>11855</v>
      </c>
      <c r="CJ23" s="269">
        <f>CJ18+CJ20-CJ21</f>
        <v>9131</v>
      </c>
      <c r="CK23" s="92">
        <f>CK18+CK20-CK21-1</f>
        <v>17650</v>
      </c>
      <c r="CL23" s="269">
        <f t="shared" ref="CL23:CQ23" si="49">CL18+CL20-CL21</f>
        <v>15006</v>
      </c>
      <c r="CM23" s="92">
        <f t="shared" si="49"/>
        <v>21564</v>
      </c>
      <c r="CN23" s="269">
        <f t="shared" si="49"/>
        <v>20083.636726199999</v>
      </c>
      <c r="CO23" s="92">
        <f t="shared" si="49"/>
        <v>27910.584696999998</v>
      </c>
      <c r="CP23" s="269">
        <f t="shared" si="49"/>
        <v>28525.727241999994</v>
      </c>
      <c r="CQ23" s="269">
        <f t="shared" si="49"/>
        <v>36183.148108000001</v>
      </c>
      <c r="CR23" s="269">
        <f t="shared" ref="CR23:CT23" si="50">CR18+CR20-CR21</f>
        <v>29794</v>
      </c>
      <c r="CS23" s="269">
        <f>CS18+CS20-CS21+1</f>
        <v>36212</v>
      </c>
      <c r="CT23" s="269">
        <f t="shared" si="50"/>
        <v>27720</v>
      </c>
      <c r="CU23" s="269">
        <f>CU18+CU20-CU21</f>
        <v>26430</v>
      </c>
      <c r="CV23" s="269">
        <f>CV18+CV20-CV21-1</f>
        <v>48012</v>
      </c>
      <c r="CW23" s="269">
        <f>CW18+CW20-CW21-1</f>
        <v>48551</v>
      </c>
      <c r="CX23" s="269">
        <f>CX18+CX20-CX21</f>
        <v>37735</v>
      </c>
      <c r="CY23" s="270">
        <f>CY18+CY20-CY21</f>
        <v>44524</v>
      </c>
      <c r="DD23" s="244"/>
      <c r="DE23" s="245"/>
      <c r="DF23" s="245"/>
      <c r="DG23" s="245"/>
      <c r="DH23" s="245"/>
      <c r="DI23" s="245"/>
      <c r="DJ23" s="245"/>
      <c r="DK23" s="245"/>
      <c r="DL23" s="245"/>
      <c r="DM23" s="245"/>
      <c r="DN23" s="245"/>
      <c r="DO23" s="245"/>
      <c r="DP23" s="245"/>
      <c r="DQ23" s="245"/>
    </row>
    <row r="24" spans="1:121" ht="23.1" customHeight="1">
      <c r="A24" s="274" t="s">
        <v>166</v>
      </c>
      <c r="B24" s="275" t="s">
        <v>206</v>
      </c>
      <c r="C24" s="276">
        <f>C23/C7</f>
        <v>3.6268516510288076E-3</v>
      </c>
      <c r="D24" s="276">
        <f t="shared" ref="D24:BP24" si="51">D23/D7</f>
        <v>0.23666731925055573</v>
      </c>
      <c r="E24" s="276">
        <f t="shared" si="51"/>
        <v>2.0880606081548507E-2</v>
      </c>
      <c r="F24" s="276">
        <f t="shared" si="51"/>
        <v>3.5095648825769231E-2</v>
      </c>
      <c r="G24" s="276">
        <f t="shared" si="51"/>
        <v>4.3948829489368763E-2</v>
      </c>
      <c r="H24" s="276">
        <f t="shared" si="51"/>
        <v>1.2435416949677423E-2</v>
      </c>
      <c r="I24" s="276">
        <f t="shared" si="51"/>
        <v>4.0702592183211948E-2</v>
      </c>
      <c r="J24" s="276">
        <f t="shared" si="51"/>
        <v>3.8241471685794719E-2</v>
      </c>
      <c r="K24" s="276">
        <f t="shared" si="51"/>
        <v>6.5637754282849362E-2</v>
      </c>
      <c r="L24" s="276">
        <f t="shared" si="51"/>
        <v>7.4078535261809783E-2</v>
      </c>
      <c r="M24" s="276">
        <f>M23/M7</f>
        <v>6.6767637943208391E-2</v>
      </c>
      <c r="N24" s="276">
        <f t="shared" si="51"/>
        <v>8.3448796100445047E-2</v>
      </c>
      <c r="O24" s="283">
        <f>O23/O7</f>
        <v>8.421622669635774E-2</v>
      </c>
      <c r="P24" s="276">
        <f t="shared" si="51"/>
        <v>0.15530426847355519</v>
      </c>
      <c r="Q24" s="276">
        <f t="shared" si="51"/>
        <v>9.619053271399175E-2</v>
      </c>
      <c r="R24" s="276">
        <f t="shared" si="51"/>
        <v>7.9441268420186603E-2</v>
      </c>
      <c r="S24" s="276">
        <f t="shared" si="51"/>
        <v>8.5414538138287241E-2</v>
      </c>
      <c r="T24" s="276">
        <f t="shared" si="51"/>
        <v>8.253334875372649E-2</v>
      </c>
      <c r="U24" s="276">
        <f t="shared" si="51"/>
        <v>7.595065049487372E-2</v>
      </c>
      <c r="V24" s="276">
        <f t="shared" si="51"/>
        <v>6.931875916910242E-2</v>
      </c>
      <c r="W24" s="276">
        <f t="shared" si="51"/>
        <v>6.0482725987561277E-2</v>
      </c>
      <c r="X24" s="276">
        <f t="shared" si="51"/>
        <v>5.1090167205755474E-2</v>
      </c>
      <c r="Y24" s="276">
        <f t="shared" si="51"/>
        <v>6.0028691067203675E-2</v>
      </c>
      <c r="Z24" s="276">
        <f t="shared" si="51"/>
        <v>7.8576889562624777E-2</v>
      </c>
      <c r="AA24" s="276">
        <f t="shared" si="51"/>
        <v>6.9768294223024205E-2</v>
      </c>
      <c r="AB24" s="276">
        <f t="shared" si="51"/>
        <v>7.3475391039297941E-2</v>
      </c>
      <c r="AC24" s="276">
        <f t="shared" si="51"/>
        <v>5.6070619533244943E-2</v>
      </c>
      <c r="AD24" s="277">
        <f t="shared" si="51"/>
        <v>4.1880921664660557E-2</v>
      </c>
      <c r="AE24" s="276">
        <f t="shared" si="51"/>
        <v>6.3246287203311616E-2</v>
      </c>
      <c r="AF24" s="276">
        <f t="shared" si="51"/>
        <v>7.4834692446056741E-2</v>
      </c>
      <c r="AG24" s="276">
        <f t="shared" si="51"/>
        <v>6.0827393470588603E-2</v>
      </c>
      <c r="AH24" s="278">
        <f t="shared" si="51"/>
        <v>7.3847359789972117E-2</v>
      </c>
      <c r="AI24" s="274" t="s">
        <v>166</v>
      </c>
      <c r="AJ24" s="279">
        <f t="shared" si="51"/>
        <v>5.9120607463576509E-2</v>
      </c>
      <c r="AK24" s="277">
        <f t="shared" si="51"/>
        <v>5.4073709724229931E-2</v>
      </c>
      <c r="AL24" s="276">
        <f t="shared" si="51"/>
        <v>6.5555605609648016E-2</v>
      </c>
      <c r="AM24" s="276">
        <f t="shared" si="51"/>
        <v>6.9389639148007831E-2</v>
      </c>
      <c r="AN24" s="276">
        <f t="shared" si="51"/>
        <v>6.6545988545954782E-2</v>
      </c>
      <c r="AO24" s="276">
        <f t="shared" si="51"/>
        <v>6.0418074603229129E-2</v>
      </c>
      <c r="AP24" s="276">
        <f t="shared" si="51"/>
        <v>4.7323587505800346E-2</v>
      </c>
      <c r="AQ24" s="276">
        <f t="shared" si="51"/>
        <v>2.8893768680239112E-2</v>
      </c>
      <c r="AR24" s="276">
        <f t="shared" si="51"/>
        <v>3.070860338485908E-2</v>
      </c>
      <c r="AS24" s="276">
        <f t="shared" si="51"/>
        <v>3.3761623963844599E-2</v>
      </c>
      <c r="AT24" s="276">
        <f t="shared" si="51"/>
        <v>3.0946782100014756E-2</v>
      </c>
      <c r="AU24" s="276">
        <f t="shared" si="51"/>
        <v>3.1656829544251745E-2</v>
      </c>
      <c r="AV24" s="276">
        <f t="shared" si="51"/>
        <v>3.0777783453517157E-2</v>
      </c>
      <c r="AW24" s="276">
        <f t="shared" si="51"/>
        <v>2.652602277874052E-2</v>
      </c>
      <c r="AX24" s="276">
        <f t="shared" si="51"/>
        <v>2.3425711579858954E-2</v>
      </c>
      <c r="AY24" s="276">
        <f t="shared" si="51"/>
        <v>2.1602261690409491E-2</v>
      </c>
      <c r="AZ24" s="276">
        <f t="shared" si="51"/>
        <v>2.2142696835847204E-2</v>
      </c>
      <c r="BA24" s="276">
        <f t="shared" si="51"/>
        <v>1.8333994974732697E-2</v>
      </c>
      <c r="BB24" s="276">
        <f t="shared" si="51"/>
        <v>1.3323879960263831E-2</v>
      </c>
      <c r="BC24" s="276">
        <f t="shared" si="51"/>
        <v>1.3333441722052917E-2</v>
      </c>
      <c r="BD24" s="284">
        <f t="shared" si="51"/>
        <v>-7.0247525106410941E-2</v>
      </c>
      <c r="BE24" s="284">
        <f t="shared" si="51"/>
        <v>-2.1472554555101605E-2</v>
      </c>
      <c r="BF24" s="284">
        <f t="shared" si="51"/>
        <v>-1.7982021905223973E-2</v>
      </c>
      <c r="BG24" s="276">
        <f t="shared" si="51"/>
        <v>1.367947931458403E-2</v>
      </c>
      <c r="BH24" s="276">
        <f t="shared" si="51"/>
        <v>6.6441720960321547E-3</v>
      </c>
      <c r="BI24" s="276">
        <f t="shared" si="51"/>
        <v>2.1526509164802232E-3</v>
      </c>
      <c r="BJ24" s="277">
        <f t="shared" si="51"/>
        <v>5.9240959463369427E-3</v>
      </c>
      <c r="BK24" s="284">
        <f t="shared" si="51"/>
        <v>-2.3162976035712816E-2</v>
      </c>
      <c r="BL24" s="285">
        <f t="shared" si="51"/>
        <v>-1.3789652715191367E-2</v>
      </c>
      <c r="BM24" s="276">
        <f t="shared" si="51"/>
        <v>1.1553134018665243E-2</v>
      </c>
      <c r="BN24" s="276">
        <f t="shared" si="51"/>
        <v>1.2828348316601903E-2</v>
      </c>
      <c r="BO24" s="276">
        <f t="shared" si="51"/>
        <v>1.315182224475302E-2</v>
      </c>
      <c r="BP24" s="278">
        <f t="shared" si="51"/>
        <v>1.1693195392583457E-2</v>
      </c>
      <c r="BQ24" s="274" t="s">
        <v>166</v>
      </c>
      <c r="BR24" s="279">
        <f t="shared" ref="BR24:CQ24" si="52">BR23/BR7</f>
        <v>9.5806713794276636E-3</v>
      </c>
      <c r="BS24" s="276">
        <f t="shared" si="52"/>
        <v>1.4940300246850799E-2</v>
      </c>
      <c r="BT24" s="276">
        <f t="shared" si="52"/>
        <v>-4.0214288065998469E-4</v>
      </c>
      <c r="BU24" s="277">
        <f t="shared" si="52"/>
        <v>1.1693826747275276E-3</v>
      </c>
      <c r="BV24" s="284">
        <f t="shared" si="52"/>
        <v>-4.8609132973159296E-2</v>
      </c>
      <c r="BW24" s="284">
        <f t="shared" si="52"/>
        <v>-4.3696528614063562E-2</v>
      </c>
      <c r="BX24" s="276">
        <f t="shared" si="52"/>
        <v>5.2476363951773786E-3</v>
      </c>
      <c r="BY24" s="276">
        <f t="shared" si="52"/>
        <v>7.4147305981216013E-3</v>
      </c>
      <c r="BZ24" s="276">
        <f t="shared" si="52"/>
        <v>9.1990384715443779E-3</v>
      </c>
      <c r="CA24" s="276">
        <f t="shared" si="52"/>
        <v>6.2837580829212631E-3</v>
      </c>
      <c r="CB24" s="284">
        <f t="shared" si="52"/>
        <v>-8.8417329796640146E-3</v>
      </c>
      <c r="CC24" s="284">
        <f t="shared" si="52"/>
        <v>-9.0411700418312566E-3</v>
      </c>
      <c r="CD24" s="276">
        <f t="shared" si="52"/>
        <v>7.0459783871851993E-3</v>
      </c>
      <c r="CE24" s="276">
        <f t="shared" si="52"/>
        <v>1.3072604659030342E-2</v>
      </c>
      <c r="CF24" s="284">
        <f t="shared" si="52"/>
        <v>-2.8297094592575622E-2</v>
      </c>
      <c r="CG24" s="284">
        <f t="shared" si="52"/>
        <v>-1.2905078327107437E-2</v>
      </c>
      <c r="CH24" s="276">
        <f t="shared" si="52"/>
        <v>1.9625461226128172E-2</v>
      </c>
      <c r="CI24" s="276">
        <f t="shared" si="52"/>
        <v>2.9969259704933617E-2</v>
      </c>
      <c r="CJ24" s="276">
        <f t="shared" si="52"/>
        <v>2.7564534095677402E-2</v>
      </c>
      <c r="CK24" s="277">
        <f t="shared" si="52"/>
        <v>4.3539824755288919E-2</v>
      </c>
      <c r="CL24" s="276">
        <f t="shared" si="52"/>
        <v>4.0269537004983376E-2</v>
      </c>
      <c r="CM24" s="277">
        <f t="shared" si="52"/>
        <v>4.8817924355308642E-2</v>
      </c>
      <c r="CN24" s="276">
        <f t="shared" ref="CN24:CO24" si="53">CN23/CN7</f>
        <v>5.940093426415128E-2</v>
      </c>
      <c r="CO24" s="277">
        <f t="shared" si="53"/>
        <v>6.6046939609891983E-2</v>
      </c>
      <c r="CP24" s="276">
        <f t="shared" si="52"/>
        <v>7.6224668017397315E-2</v>
      </c>
      <c r="CQ24" s="276">
        <f t="shared" si="52"/>
        <v>7.7359886931180927E-2</v>
      </c>
      <c r="CR24" s="276">
        <f t="shared" ref="CR24:CS24" si="54">CR23/CR7</f>
        <v>7.4248703501107724E-2</v>
      </c>
      <c r="CS24" s="276">
        <f t="shared" si="54"/>
        <v>7.3588613395598745E-2</v>
      </c>
      <c r="CT24" s="276">
        <f t="shared" ref="CT24:CU24" si="55">CT23/CT7</f>
        <v>7.1578708174742947E-2</v>
      </c>
      <c r="CU24" s="276">
        <f t="shared" si="55"/>
        <v>5.4175822373815227E-2</v>
      </c>
      <c r="CV24" s="276">
        <f t="shared" ref="CV24:CW24" si="56">CV23/CV7</f>
        <v>0.13114951131701294</v>
      </c>
      <c r="CW24" s="276">
        <f t="shared" si="56"/>
        <v>7.1602913610762486E-2</v>
      </c>
      <c r="CX24" s="276">
        <f t="shared" ref="CX24:CY24" si="57">CX23/CX7</f>
        <v>0.10349017069638861</v>
      </c>
      <c r="CY24" s="278">
        <f t="shared" si="57"/>
        <v>6.5197272855067712E-2</v>
      </c>
      <c r="DD24" s="244" t="s">
        <v>160</v>
      </c>
      <c r="DE24" s="245"/>
      <c r="DF24" s="245"/>
      <c r="DG24" s="644" t="s">
        <v>520</v>
      </c>
      <c r="DH24" s="417" t="s">
        <v>518</v>
      </c>
      <c r="DI24" s="402" t="s">
        <v>519</v>
      </c>
      <c r="DJ24" s="393" t="s">
        <v>516</v>
      </c>
      <c r="DK24" s="393" t="s">
        <v>517</v>
      </c>
      <c r="DL24" s="254" t="s">
        <v>515</v>
      </c>
      <c r="DM24" s="254" t="s">
        <v>479</v>
      </c>
      <c r="DN24" s="254" t="s">
        <v>480</v>
      </c>
      <c r="DO24" s="254" t="s">
        <v>514</v>
      </c>
      <c r="DP24" s="254" t="s">
        <v>481</v>
      </c>
      <c r="DQ24" s="255" t="s">
        <v>478</v>
      </c>
    </row>
    <row r="25" spans="1:121" ht="23.1" customHeight="1" thickBot="1">
      <c r="A25" s="280" t="s">
        <v>532</v>
      </c>
      <c r="B25" s="257" t="s">
        <v>206</v>
      </c>
      <c r="C25" s="288" t="s">
        <v>206</v>
      </c>
      <c r="D25" s="288" t="s">
        <v>206</v>
      </c>
      <c r="E25" s="288" t="s">
        <v>206</v>
      </c>
      <c r="F25" s="288" t="s">
        <v>206</v>
      </c>
      <c r="G25" s="288" t="s">
        <v>206</v>
      </c>
      <c r="H25" s="288" t="s">
        <v>206</v>
      </c>
      <c r="I25" s="288" t="s">
        <v>206</v>
      </c>
      <c r="J25" s="288" t="s">
        <v>206</v>
      </c>
      <c r="K25" s="288" t="s">
        <v>206</v>
      </c>
      <c r="L25" s="288" t="s">
        <v>206</v>
      </c>
      <c r="M25" s="288" t="s">
        <v>206</v>
      </c>
      <c r="N25" s="288" t="s">
        <v>206</v>
      </c>
      <c r="O25" s="288" t="s">
        <v>206</v>
      </c>
      <c r="P25" s="288" t="s">
        <v>206</v>
      </c>
      <c r="Q25" s="288" t="s">
        <v>206</v>
      </c>
      <c r="R25" s="288" t="s">
        <v>206</v>
      </c>
      <c r="S25" s="288" t="s">
        <v>206</v>
      </c>
      <c r="T25" s="258">
        <v>819</v>
      </c>
      <c r="U25" s="258">
        <v>900</v>
      </c>
      <c r="V25" s="258">
        <v>900</v>
      </c>
      <c r="W25" s="258">
        <v>900</v>
      </c>
      <c r="X25" s="258">
        <v>920</v>
      </c>
      <c r="Y25" s="258">
        <v>1310</v>
      </c>
      <c r="Z25" s="258">
        <v>2490</v>
      </c>
      <c r="AA25" s="258">
        <v>2270</v>
      </c>
      <c r="AB25" s="259">
        <v>2815</v>
      </c>
      <c r="AC25" s="259">
        <v>2420</v>
      </c>
      <c r="AD25" s="259">
        <v>3480</v>
      </c>
      <c r="AE25" s="258">
        <v>5220</v>
      </c>
      <c r="AF25" s="258">
        <v>5910</v>
      </c>
      <c r="AG25" s="258">
        <v>4860</v>
      </c>
      <c r="AH25" s="260">
        <v>6630</v>
      </c>
      <c r="AI25" s="280" t="s">
        <v>532</v>
      </c>
      <c r="AJ25" s="261">
        <v>7270</v>
      </c>
      <c r="AK25" s="259">
        <v>6740</v>
      </c>
      <c r="AL25" s="258">
        <v>9390</v>
      </c>
      <c r="AM25" s="258">
        <v>12780</v>
      </c>
      <c r="AN25" s="258">
        <v>12000</v>
      </c>
      <c r="AO25" s="258">
        <v>10620</v>
      </c>
      <c r="AP25" s="258">
        <v>7410</v>
      </c>
      <c r="AQ25" s="258">
        <v>5330</v>
      </c>
      <c r="AR25" s="258">
        <v>6660</v>
      </c>
      <c r="AS25" s="258">
        <v>2978</v>
      </c>
      <c r="AT25" s="258">
        <v>6960</v>
      </c>
      <c r="AU25" s="258">
        <v>6650</v>
      </c>
      <c r="AV25" s="258">
        <v>8308</v>
      </c>
      <c r="AW25" s="258">
        <v>7890</v>
      </c>
      <c r="AX25" s="258">
        <v>7928</v>
      </c>
      <c r="AY25" s="258">
        <v>7499</v>
      </c>
      <c r="AZ25" s="258">
        <v>7930</v>
      </c>
      <c r="BA25" s="258">
        <v>6650</v>
      </c>
      <c r="BB25" s="258">
        <v>4500</v>
      </c>
      <c r="BC25" s="258">
        <v>4750</v>
      </c>
      <c r="BD25" s="259">
        <v>1400</v>
      </c>
      <c r="BE25" s="258">
        <v>-2974</v>
      </c>
      <c r="BF25" s="259">
        <v>-2789.9524900000001</v>
      </c>
      <c r="BG25" s="258">
        <v>3540</v>
      </c>
      <c r="BH25" s="259">
        <v>4183.0761910000001</v>
      </c>
      <c r="BI25" s="258">
        <v>1351</v>
      </c>
      <c r="BJ25" s="259">
        <v>2196.0656389999999</v>
      </c>
      <c r="BK25" s="258">
        <v>-1342</v>
      </c>
      <c r="BL25" s="259">
        <v>-913.41579899999999</v>
      </c>
      <c r="BM25" s="258">
        <v>2497</v>
      </c>
      <c r="BN25" s="259">
        <v>2844</v>
      </c>
      <c r="BO25" s="262">
        <v>4624</v>
      </c>
      <c r="BP25" s="260">
        <v>4536</v>
      </c>
      <c r="BQ25" s="280" t="s">
        <v>532</v>
      </c>
      <c r="BR25" s="261">
        <v>1954</v>
      </c>
      <c r="BS25" s="259">
        <v>2085</v>
      </c>
      <c r="BT25" s="258">
        <v>438</v>
      </c>
      <c r="BU25" s="259">
        <v>1086</v>
      </c>
      <c r="BV25" s="258">
        <v>25272</v>
      </c>
      <c r="BW25" s="259">
        <v>25396</v>
      </c>
      <c r="BX25" s="262">
        <v>109</v>
      </c>
      <c r="BY25" s="259">
        <v>346</v>
      </c>
      <c r="BZ25" s="258">
        <v>154</v>
      </c>
      <c r="CA25" s="259">
        <v>673</v>
      </c>
      <c r="CB25" s="262">
        <v>170</v>
      </c>
      <c r="CC25" s="259">
        <v>248</v>
      </c>
      <c r="CD25" s="258">
        <v>161</v>
      </c>
      <c r="CE25" s="259">
        <v>768</v>
      </c>
      <c r="CF25" s="262">
        <v>88</v>
      </c>
      <c r="CG25" s="259">
        <v>386</v>
      </c>
      <c r="CH25" s="262">
        <v>870</v>
      </c>
      <c r="CI25" s="259">
        <v>1903</v>
      </c>
      <c r="CJ25" s="258">
        <v>1851</v>
      </c>
      <c r="CK25" s="259">
        <v>3310</v>
      </c>
      <c r="CL25" s="258">
        <v>2124</v>
      </c>
      <c r="CM25" s="259">
        <v>3126</v>
      </c>
      <c r="CN25" s="258">
        <f>4846.030886-3786.534398</f>
        <v>1059.4964879999998</v>
      </c>
      <c r="CO25" s="259">
        <v>2381.9654150000001</v>
      </c>
      <c r="CP25" s="258">
        <f>10700.228322-1210.373652</f>
        <v>9489.8546700000006</v>
      </c>
      <c r="CQ25" s="258">
        <v>10878.864779</v>
      </c>
      <c r="CR25" s="258">
        <v>9370</v>
      </c>
      <c r="CS25" s="258">
        <v>10543</v>
      </c>
      <c r="CT25" s="258">
        <v>6360</v>
      </c>
      <c r="CU25" s="258">
        <v>10148</v>
      </c>
      <c r="CV25" s="258">
        <v>11765</v>
      </c>
      <c r="CW25" s="258">
        <v>16462</v>
      </c>
      <c r="CX25" s="258">
        <v>9223</v>
      </c>
      <c r="CY25" s="260">
        <v>14744</v>
      </c>
      <c r="DD25" s="245"/>
      <c r="DE25" s="245"/>
      <c r="DF25" s="245"/>
      <c r="DG25" s="645"/>
      <c r="DH25" s="418">
        <v>45241</v>
      </c>
      <c r="DI25" s="403">
        <v>35194</v>
      </c>
      <c r="DJ25" s="304">
        <v>32168</v>
      </c>
      <c r="DK25" s="304">
        <v>29802</v>
      </c>
      <c r="DL25" s="265">
        <v>29422</v>
      </c>
      <c r="DM25" s="265">
        <v>20694</v>
      </c>
      <c r="DN25" s="265">
        <v>19527</v>
      </c>
      <c r="DO25" s="265">
        <v>19417</v>
      </c>
      <c r="DP25" s="265">
        <v>19020</v>
      </c>
      <c r="DQ25" s="266">
        <v>16700</v>
      </c>
    </row>
    <row r="26" spans="1:121" ht="23.1" customHeight="1">
      <c r="A26" s="280" t="s">
        <v>533</v>
      </c>
      <c r="B26" s="257" t="s">
        <v>206</v>
      </c>
      <c r="C26" s="288" t="s">
        <v>206</v>
      </c>
      <c r="D26" s="288" t="s">
        <v>206</v>
      </c>
      <c r="E26" s="288" t="s">
        <v>206</v>
      </c>
      <c r="F26" s="288" t="s">
        <v>206</v>
      </c>
      <c r="G26" s="288" t="s">
        <v>206</v>
      </c>
      <c r="H26" s="288" t="s">
        <v>206</v>
      </c>
      <c r="I26" s="288" t="s">
        <v>206</v>
      </c>
      <c r="J26" s="288" t="s">
        <v>206</v>
      </c>
      <c r="K26" s="288" t="s">
        <v>206</v>
      </c>
      <c r="L26" s="288" t="s">
        <v>206</v>
      </c>
      <c r="M26" s="288" t="s">
        <v>206</v>
      </c>
      <c r="N26" s="288" t="s">
        <v>206</v>
      </c>
      <c r="O26" s="288" t="s">
        <v>206</v>
      </c>
      <c r="P26" s="288" t="s">
        <v>206</v>
      </c>
      <c r="Q26" s="288" t="s">
        <v>206</v>
      </c>
      <c r="R26" s="288" t="s">
        <v>206</v>
      </c>
      <c r="S26" s="288" t="s">
        <v>206</v>
      </c>
      <c r="T26" s="288" t="s">
        <v>206</v>
      </c>
      <c r="U26" s="288">
        <f>U50</f>
        <v>0</v>
      </c>
      <c r="V26" s="288" t="s">
        <v>206</v>
      </c>
      <c r="W26" s="288" t="s">
        <v>206</v>
      </c>
      <c r="X26" s="288" t="s">
        <v>206</v>
      </c>
      <c r="Y26" s="288" t="s">
        <v>206</v>
      </c>
      <c r="Z26" s="288" t="s">
        <v>206</v>
      </c>
      <c r="AA26" s="288" t="s">
        <v>206</v>
      </c>
      <c r="AB26" s="288" t="s">
        <v>206</v>
      </c>
      <c r="AC26" s="288" t="s">
        <v>206</v>
      </c>
      <c r="AD26" s="288" t="s">
        <v>206</v>
      </c>
      <c r="AE26" s="288" t="s">
        <v>206</v>
      </c>
      <c r="AF26" s="288" t="s">
        <v>206</v>
      </c>
      <c r="AG26" s="288" t="s">
        <v>206</v>
      </c>
      <c r="AH26" s="289" t="s">
        <v>206</v>
      </c>
      <c r="AI26" s="280" t="s">
        <v>533</v>
      </c>
      <c r="AJ26" s="257" t="s">
        <v>206</v>
      </c>
      <c r="AK26" s="288" t="s">
        <v>206</v>
      </c>
      <c r="AL26" s="288" t="s">
        <v>206</v>
      </c>
      <c r="AM26" s="288" t="s">
        <v>206</v>
      </c>
      <c r="AN26" s="288" t="s">
        <v>206</v>
      </c>
      <c r="AO26" s="288" t="s">
        <v>206</v>
      </c>
      <c r="AP26" s="288" t="s">
        <v>206</v>
      </c>
      <c r="AQ26" s="288" t="s">
        <v>206</v>
      </c>
      <c r="AR26" s="288" t="s">
        <v>206</v>
      </c>
      <c r="AS26" s="288" t="s">
        <v>206</v>
      </c>
      <c r="AT26" s="288" t="s">
        <v>206</v>
      </c>
      <c r="AU26" s="288" t="s">
        <v>206</v>
      </c>
      <c r="AV26" s="288" t="s">
        <v>206</v>
      </c>
      <c r="AW26" s="288" t="s">
        <v>206</v>
      </c>
      <c r="AX26" s="288" t="s">
        <v>206</v>
      </c>
      <c r="AY26" s="288" t="s">
        <v>206</v>
      </c>
      <c r="AZ26" s="288" t="s">
        <v>206</v>
      </c>
      <c r="BA26" s="288" t="s">
        <v>206</v>
      </c>
      <c r="BB26" s="288" t="s">
        <v>206</v>
      </c>
      <c r="BC26" s="288" t="s">
        <v>206</v>
      </c>
      <c r="BD26" s="288" t="s">
        <v>206</v>
      </c>
      <c r="BE26" s="291" t="s">
        <v>206</v>
      </c>
      <c r="BF26" s="259">
        <v>-203.51278199999999</v>
      </c>
      <c r="BG26" s="291" t="s">
        <v>206</v>
      </c>
      <c r="BH26" s="259">
        <v>-2317.669582</v>
      </c>
      <c r="BI26" s="291" t="s">
        <v>206</v>
      </c>
      <c r="BJ26" s="259">
        <v>217.85279199999999</v>
      </c>
      <c r="BK26" s="291" t="s">
        <v>206</v>
      </c>
      <c r="BL26" s="259">
        <v>136.440055</v>
      </c>
      <c r="BM26" s="291" t="s">
        <v>206</v>
      </c>
      <c r="BN26" s="259">
        <v>106</v>
      </c>
      <c r="BO26" s="292" t="s">
        <v>206</v>
      </c>
      <c r="BP26" s="260">
        <v>-307</v>
      </c>
      <c r="BQ26" s="280" t="s">
        <v>533</v>
      </c>
      <c r="BR26" s="281" t="s">
        <v>206</v>
      </c>
      <c r="BS26" s="259">
        <v>419</v>
      </c>
      <c r="BT26" s="291" t="s">
        <v>206</v>
      </c>
      <c r="BU26" s="259">
        <v>106</v>
      </c>
      <c r="BV26" s="291" t="s">
        <v>206</v>
      </c>
      <c r="BW26" s="259">
        <v>-453</v>
      </c>
      <c r="BX26" s="292" t="s">
        <v>206</v>
      </c>
      <c r="BY26" s="259">
        <v>-57</v>
      </c>
      <c r="BZ26" s="291" t="s">
        <v>206</v>
      </c>
      <c r="CA26" s="259">
        <v>-983</v>
      </c>
      <c r="CB26" s="292" t="s">
        <v>206</v>
      </c>
      <c r="CC26" s="259">
        <v>-340</v>
      </c>
      <c r="CD26" s="291" t="s">
        <v>206</v>
      </c>
      <c r="CE26" s="259">
        <v>131</v>
      </c>
      <c r="CF26" s="291" t="s">
        <v>206</v>
      </c>
      <c r="CG26" s="259">
        <v>120</v>
      </c>
      <c r="CH26" s="291" t="s">
        <v>206</v>
      </c>
      <c r="CI26" s="259">
        <v>686</v>
      </c>
      <c r="CJ26" s="291" t="s">
        <v>206</v>
      </c>
      <c r="CK26" s="259">
        <v>737</v>
      </c>
      <c r="CL26" s="291" t="s">
        <v>206</v>
      </c>
      <c r="CM26" s="259">
        <v>932</v>
      </c>
      <c r="CN26" s="291" t="s">
        <v>206</v>
      </c>
      <c r="CO26" s="259">
        <v>1586.748734</v>
      </c>
      <c r="CP26" s="291" t="s">
        <v>206</v>
      </c>
      <c r="CQ26" s="258">
        <v>2247.2639669999999</v>
      </c>
      <c r="CR26" s="291" t="s">
        <v>206</v>
      </c>
      <c r="CS26" s="258">
        <v>1715</v>
      </c>
      <c r="CT26" s="291" t="s">
        <v>206</v>
      </c>
      <c r="CU26" s="258">
        <v>1939</v>
      </c>
      <c r="CV26" s="291" t="s">
        <v>206</v>
      </c>
      <c r="CW26" s="258">
        <v>8814</v>
      </c>
      <c r="CX26" s="291" t="s">
        <v>206</v>
      </c>
      <c r="CY26" s="260">
        <v>3089</v>
      </c>
      <c r="DD26" s="245"/>
      <c r="DE26" s="245"/>
      <c r="DF26" s="245"/>
      <c r="DG26" s="644" t="s">
        <v>521</v>
      </c>
      <c r="DH26" s="419" t="s">
        <v>518</v>
      </c>
      <c r="DI26" s="420" t="s">
        <v>519</v>
      </c>
      <c r="DJ26" s="254" t="s">
        <v>516</v>
      </c>
      <c r="DK26" s="254" t="s">
        <v>515</v>
      </c>
      <c r="DL26" s="254" t="s">
        <v>517</v>
      </c>
      <c r="DM26" s="254" t="s">
        <v>514</v>
      </c>
      <c r="DN26" s="254" t="s">
        <v>513</v>
      </c>
      <c r="DO26" s="254" t="s">
        <v>512</v>
      </c>
      <c r="DP26" s="254" t="s">
        <v>498</v>
      </c>
      <c r="DQ26" s="255" t="s">
        <v>511</v>
      </c>
    </row>
    <row r="27" spans="1:121" ht="23.1" customHeight="1" thickBot="1">
      <c r="A27" s="267" t="s">
        <v>534</v>
      </c>
      <c r="B27" s="268" t="str">
        <f t="shared" ref="B27:R27" si="58">B23</f>
        <v>-</v>
      </c>
      <c r="C27" s="269">
        <f>C23</f>
        <v>0.12361164999999597</v>
      </c>
      <c r="D27" s="269">
        <f t="shared" si="58"/>
        <v>2.0608262999999996</v>
      </c>
      <c r="E27" s="269">
        <f t="shared" si="58"/>
        <v>7.2730029999999974</v>
      </c>
      <c r="F27" s="269">
        <f t="shared" si="58"/>
        <v>9.9509053999999999</v>
      </c>
      <c r="G27" s="269">
        <f t="shared" si="58"/>
        <v>12.895026949999997</v>
      </c>
      <c r="H27" s="269">
        <f t="shared" si="58"/>
        <v>11.043245000000004</v>
      </c>
      <c r="I27" s="269">
        <f t="shared" si="58"/>
        <v>52.911821999999994</v>
      </c>
      <c r="J27" s="269">
        <f t="shared" si="58"/>
        <v>119.77092799999998</v>
      </c>
      <c r="K27" s="269">
        <f t="shared" si="58"/>
        <v>161.19442400000003</v>
      </c>
      <c r="L27" s="269">
        <f>L23</f>
        <v>248.70464700000002</v>
      </c>
      <c r="M27" s="269">
        <f>M23</f>
        <v>221.38860199999999</v>
      </c>
      <c r="N27" s="269">
        <f t="shared" si="58"/>
        <v>373.31413599999985</v>
      </c>
      <c r="O27" s="269">
        <f t="shared" si="58"/>
        <v>697.36939700000005</v>
      </c>
      <c r="P27" s="269">
        <f t="shared" si="58"/>
        <v>1400.1167640000001</v>
      </c>
      <c r="Q27" s="269">
        <f t="shared" si="58"/>
        <v>1071.307168</v>
      </c>
      <c r="R27" s="269">
        <f t="shared" si="58"/>
        <v>1222.6738249999999</v>
      </c>
      <c r="S27" s="269">
        <f>S23</f>
        <v>1614.6126220000001</v>
      </c>
      <c r="T27" s="269">
        <f t="shared" ref="T27:AZ27" si="59">T23-T25</f>
        <v>1112.4444939999998</v>
      </c>
      <c r="U27" s="269">
        <f t="shared" si="59"/>
        <v>1158.4667770000001</v>
      </c>
      <c r="V27" s="269">
        <f t="shared" si="59"/>
        <v>1222.3192480000002</v>
      </c>
      <c r="W27" s="269">
        <f t="shared" si="59"/>
        <v>1258.7352089999999</v>
      </c>
      <c r="X27" s="269">
        <f t="shared" si="59"/>
        <v>1364.5838280000007</v>
      </c>
      <c r="Y27" s="269">
        <f t="shared" si="59"/>
        <v>1983.6321790000002</v>
      </c>
      <c r="Z27" s="269">
        <f t="shared" si="59"/>
        <v>2914.1279709999999</v>
      </c>
      <c r="AA27" s="269">
        <f t="shared" si="59"/>
        <v>3363.460642</v>
      </c>
      <c r="AB27" s="92">
        <f t="shared" si="59"/>
        <v>3814.7188239999996</v>
      </c>
      <c r="AC27" s="92">
        <f t="shared" si="59"/>
        <v>3853.4248789999992</v>
      </c>
      <c r="AD27" s="92">
        <f t="shared" si="59"/>
        <v>3064.9098270000013</v>
      </c>
      <c r="AE27" s="269">
        <f t="shared" si="59"/>
        <v>4036.7342000000008</v>
      </c>
      <c r="AF27" s="269">
        <f t="shared" si="59"/>
        <v>4837.7396980000012</v>
      </c>
      <c r="AG27" s="269">
        <f t="shared" si="59"/>
        <v>4634.5235682999992</v>
      </c>
      <c r="AH27" s="270">
        <f t="shared" si="59"/>
        <v>5297.0125640000006</v>
      </c>
      <c r="AI27" s="267" t="s">
        <v>534</v>
      </c>
      <c r="AJ27" s="271">
        <f t="shared" si="59"/>
        <v>5650.2795219999989</v>
      </c>
      <c r="AK27" s="92">
        <f t="shared" si="59"/>
        <v>6248.7136259999988</v>
      </c>
      <c r="AL27" s="269">
        <f t="shared" si="59"/>
        <v>7033.9360359999991</v>
      </c>
      <c r="AM27" s="269">
        <f t="shared" si="59"/>
        <v>7699.5010000000002</v>
      </c>
      <c r="AN27" s="269">
        <f t="shared" si="59"/>
        <v>7900.4719999999979</v>
      </c>
      <c r="AO27" s="269">
        <f t="shared" si="59"/>
        <v>8363.148000000001</v>
      </c>
      <c r="AP27" s="269">
        <f t="shared" si="59"/>
        <v>8218.4260000000031</v>
      </c>
      <c r="AQ27" s="269">
        <f t="shared" si="59"/>
        <v>5310.23</v>
      </c>
      <c r="AR27" s="269">
        <f t="shared" si="59"/>
        <v>4801.9930000000004</v>
      </c>
      <c r="AS27" s="269">
        <f t="shared" si="59"/>
        <v>1287.6350000000011</v>
      </c>
      <c r="AT27" s="269">
        <f t="shared" si="59"/>
        <v>5327.9959999999974</v>
      </c>
      <c r="AU27" s="269">
        <f t="shared" si="59"/>
        <v>6727.7455648999985</v>
      </c>
      <c r="AV27" s="269">
        <f t="shared" si="59"/>
        <v>6310.069849999998</v>
      </c>
      <c r="AW27" s="269">
        <f t="shared" si="59"/>
        <v>5402.3996920000045</v>
      </c>
      <c r="AX27" s="269">
        <f t="shared" si="59"/>
        <v>3809.1104380000015</v>
      </c>
      <c r="AY27" s="269">
        <f t="shared" si="59"/>
        <v>4010.7395730000026</v>
      </c>
      <c r="AZ27" s="269">
        <f t="shared" si="59"/>
        <v>3803.4448100000045</v>
      </c>
      <c r="BA27" s="269">
        <f>BA23-BA25</f>
        <v>3008.7984450000004</v>
      </c>
      <c r="BB27" s="269">
        <f>BB23-BB25</f>
        <v>2075.5716249999996</v>
      </c>
      <c r="BC27" s="269">
        <f>BC23-BC25</f>
        <v>1987.1428920000035</v>
      </c>
      <c r="BD27" s="92">
        <f>BD23-BD25</f>
        <v>-34472.662485000001</v>
      </c>
      <c r="BE27" s="269">
        <f>BE23-BE25</f>
        <v>-5951.6982679999965</v>
      </c>
      <c r="BF27" s="92">
        <f>BF23-BF25-BF26</f>
        <v>-5633.6147230000006</v>
      </c>
      <c r="BG27" s="269">
        <f>BG23-BG25</f>
        <v>2057</v>
      </c>
      <c r="BH27" s="92">
        <f>BH23-BH25-BH26</f>
        <v>1219.752823999997</v>
      </c>
      <c r="BI27" s="269">
        <f>BI23-BI25</f>
        <v>-512</v>
      </c>
      <c r="BJ27" s="92">
        <f>BJ23-BJ25-BJ26</f>
        <v>191.23970499999919</v>
      </c>
      <c r="BK27" s="269">
        <f>BK23-BK25</f>
        <v>-8226</v>
      </c>
      <c r="BL27" s="92">
        <f>BL23-BL25-BL26</f>
        <v>-5550.4883669999954</v>
      </c>
      <c r="BM27" s="269">
        <f>BM23-BM25</f>
        <v>2503</v>
      </c>
      <c r="BN27" s="92">
        <f>BN23-BN25-BN26-2</f>
        <v>3261</v>
      </c>
      <c r="BO27" s="272">
        <f>BO23-BO25</f>
        <v>876</v>
      </c>
      <c r="BP27" s="270">
        <f>BP23-BP25-BP26-1</f>
        <v>1193</v>
      </c>
      <c r="BQ27" s="267" t="s">
        <v>534</v>
      </c>
      <c r="BR27" s="271">
        <f>BR23-BR25</f>
        <v>2101</v>
      </c>
      <c r="BS27" s="92">
        <f>BS23-BS25-BS26-1</f>
        <v>4546</v>
      </c>
      <c r="BT27" s="269">
        <f>BT23-BT25-1</f>
        <v>-610</v>
      </c>
      <c r="BU27" s="92">
        <f>BU23-BU25-BU26</f>
        <v>-633</v>
      </c>
      <c r="BV27" s="269">
        <f>BV23-BV25-1</f>
        <v>-45580</v>
      </c>
      <c r="BW27" s="92">
        <f>BW23-BW25-BW26+1</f>
        <v>-45806</v>
      </c>
      <c r="BX27" s="272">
        <f>BX23-BX25</f>
        <v>1706</v>
      </c>
      <c r="BY27" s="92">
        <f>BY23-BY25-BY26-1</f>
        <v>2620</v>
      </c>
      <c r="BZ27" s="269">
        <f>BZ23-BZ25-1</f>
        <v>2497</v>
      </c>
      <c r="CA27" s="92">
        <f>CA23-CA25-CA26+1</f>
        <v>2376</v>
      </c>
      <c r="CB27" s="272">
        <f>CB23-CB25</f>
        <v>-2360</v>
      </c>
      <c r="CC27" s="92">
        <f>CC23-CC25-CC26</f>
        <v>-2547</v>
      </c>
      <c r="CD27" s="269">
        <f>CD23-CD25</f>
        <v>1664</v>
      </c>
      <c r="CE27" s="92">
        <f>CE23-CE25-CE26</f>
        <v>3197</v>
      </c>
      <c r="CF27" s="272">
        <f>CF23-CF25</f>
        <v>-8611</v>
      </c>
      <c r="CG27" s="92">
        <f>CG23-CG25-CG26-1</f>
        <v>-5271</v>
      </c>
      <c r="CH27" s="272">
        <f>CH23-CH25</f>
        <v>5486</v>
      </c>
      <c r="CI27" s="92">
        <f>CI23-CI25-CI26-1</f>
        <v>9265</v>
      </c>
      <c r="CJ27" s="269">
        <f>CJ23-CJ25</f>
        <v>7280</v>
      </c>
      <c r="CK27" s="92">
        <f>CK23-CK25-CK26</f>
        <v>13603</v>
      </c>
      <c r="CL27" s="269">
        <f>CL23-CL25</f>
        <v>12882</v>
      </c>
      <c r="CM27" s="92">
        <f>CM23-CM25-CM26-1</f>
        <v>17505</v>
      </c>
      <c r="CN27" s="269">
        <f>CN23-CN25</f>
        <v>19024.140238199998</v>
      </c>
      <c r="CO27" s="92">
        <f>CO23-CO25-CO26</f>
        <v>23941.870547999999</v>
      </c>
      <c r="CP27" s="269">
        <f>CP23-CP25</f>
        <v>19035.872571999993</v>
      </c>
      <c r="CQ27" s="269">
        <f>CQ23-CQ25-CQ26</f>
        <v>23057.019362000003</v>
      </c>
      <c r="CR27" s="269">
        <f>CR23-CR25</f>
        <v>20424</v>
      </c>
      <c r="CS27" s="269">
        <f>CS23-CS25-CS26-2</f>
        <v>23952</v>
      </c>
      <c r="CT27" s="269">
        <f>CT23-CT25-1</f>
        <v>21359</v>
      </c>
      <c r="CU27" s="269">
        <f>CU23-CU25-CU26-1</f>
        <v>14342</v>
      </c>
      <c r="CV27" s="269">
        <f>CV23-CV25</f>
        <v>36247</v>
      </c>
      <c r="CW27" s="269">
        <f>CW23-CW25-CW26</f>
        <v>23275</v>
      </c>
      <c r="CX27" s="269">
        <f>CX23-CX25</f>
        <v>28512</v>
      </c>
      <c r="CY27" s="270">
        <f>CY23-CY25-CY26-2</f>
        <v>26689</v>
      </c>
      <c r="DD27" s="245"/>
      <c r="DE27" s="245"/>
      <c r="DF27" s="245"/>
      <c r="DG27" s="645"/>
      <c r="DH27" s="418">
        <v>45665</v>
      </c>
      <c r="DI27" s="421">
        <v>44524</v>
      </c>
      <c r="DJ27" s="265">
        <v>38363</v>
      </c>
      <c r="DK27" s="265">
        <v>37019</v>
      </c>
      <c r="DL27" s="265">
        <v>36597</v>
      </c>
      <c r="DM27" s="265">
        <v>27363</v>
      </c>
      <c r="DN27" s="265">
        <v>22991</v>
      </c>
      <c r="DO27" s="265">
        <v>15277</v>
      </c>
      <c r="DP27" s="265">
        <v>13198</v>
      </c>
      <c r="DQ27" s="266">
        <v>11282</v>
      </c>
    </row>
    <row r="28" spans="1:121" ht="23.1" customHeight="1" thickBot="1">
      <c r="A28" s="305" t="s">
        <v>170</v>
      </c>
      <c r="B28" s="306" t="s">
        <v>206</v>
      </c>
      <c r="C28" s="307">
        <f>C27/C7</f>
        <v>3.6268516510288076E-3</v>
      </c>
      <c r="D28" s="307">
        <f t="shared" ref="D28:BP28" si="60">D27/D7</f>
        <v>0.23666731925055573</v>
      </c>
      <c r="E28" s="307">
        <f t="shared" si="60"/>
        <v>2.0880606081548507E-2</v>
      </c>
      <c r="F28" s="307">
        <f t="shared" si="60"/>
        <v>3.5095648825769231E-2</v>
      </c>
      <c r="G28" s="307">
        <f t="shared" si="60"/>
        <v>4.3948829489368763E-2</v>
      </c>
      <c r="H28" s="307">
        <f t="shared" si="60"/>
        <v>1.2435416949677423E-2</v>
      </c>
      <c r="I28" s="307">
        <f t="shared" si="60"/>
        <v>4.0702592183211948E-2</v>
      </c>
      <c r="J28" s="307">
        <f t="shared" si="60"/>
        <v>3.8241471685794719E-2</v>
      </c>
      <c r="K28" s="307">
        <f t="shared" si="60"/>
        <v>6.5637754282849362E-2</v>
      </c>
      <c r="L28" s="307">
        <f t="shared" si="60"/>
        <v>7.4078535261809783E-2</v>
      </c>
      <c r="M28" s="307">
        <f t="shared" si="60"/>
        <v>6.6767637943208391E-2</v>
      </c>
      <c r="N28" s="307">
        <f t="shared" si="60"/>
        <v>8.3448796100445047E-2</v>
      </c>
      <c r="O28" s="308">
        <f>O27/O7</f>
        <v>8.421622669635774E-2</v>
      </c>
      <c r="P28" s="307">
        <f t="shared" si="60"/>
        <v>0.15530426847355519</v>
      </c>
      <c r="Q28" s="307">
        <f t="shared" si="60"/>
        <v>9.619053271399175E-2</v>
      </c>
      <c r="R28" s="307">
        <f t="shared" si="60"/>
        <v>7.9441268420186603E-2</v>
      </c>
      <c r="S28" s="307">
        <f t="shared" si="60"/>
        <v>8.5414538138287241E-2</v>
      </c>
      <c r="T28" s="307">
        <f t="shared" si="60"/>
        <v>4.7536323035781113E-2</v>
      </c>
      <c r="U28" s="307">
        <f t="shared" si="60"/>
        <v>4.2743612028599581E-2</v>
      </c>
      <c r="V28" s="307">
        <f t="shared" si="60"/>
        <v>3.9923142411169607E-2</v>
      </c>
      <c r="W28" s="307">
        <f t="shared" si="60"/>
        <v>3.5266824953538188E-2</v>
      </c>
      <c r="X28" s="307">
        <f t="shared" si="60"/>
        <v>3.0516199530232289E-2</v>
      </c>
      <c r="Y28" s="307">
        <f t="shared" si="60"/>
        <v>3.6153048304351981E-2</v>
      </c>
      <c r="Z28" s="307">
        <f t="shared" si="60"/>
        <v>4.2371889225682219E-2</v>
      </c>
      <c r="AA28" s="307">
        <f t="shared" si="60"/>
        <v>4.1655196794861689E-2</v>
      </c>
      <c r="AB28" s="307">
        <f t="shared" si="60"/>
        <v>4.2277502973988988E-2</v>
      </c>
      <c r="AC28" s="307">
        <f t="shared" si="60"/>
        <v>3.4441142511104805E-2</v>
      </c>
      <c r="AD28" s="307">
        <f t="shared" si="60"/>
        <v>1.9612378438630455E-2</v>
      </c>
      <c r="AE28" s="307">
        <f t="shared" si="60"/>
        <v>2.7580834132261287E-2</v>
      </c>
      <c r="AF28" s="307">
        <f t="shared" si="60"/>
        <v>3.3684362722450213E-2</v>
      </c>
      <c r="AG28" s="307">
        <f t="shared" si="60"/>
        <v>2.9691430708426354E-2</v>
      </c>
      <c r="AH28" s="309">
        <f t="shared" si="60"/>
        <v>3.2797013546074665E-2</v>
      </c>
      <c r="AI28" s="305" t="s">
        <v>170</v>
      </c>
      <c r="AJ28" s="310">
        <f t="shared" si="60"/>
        <v>2.5854545724869702E-2</v>
      </c>
      <c r="AK28" s="307">
        <f t="shared" si="60"/>
        <v>2.6014210220617597E-2</v>
      </c>
      <c r="AL28" s="307">
        <f t="shared" si="60"/>
        <v>2.8075726527963862E-2</v>
      </c>
      <c r="AM28" s="307">
        <f t="shared" si="60"/>
        <v>2.608782294108267E-2</v>
      </c>
      <c r="AN28" s="307">
        <f t="shared" si="60"/>
        <v>2.6418706009567829E-2</v>
      </c>
      <c r="AO28" s="307">
        <f t="shared" si="60"/>
        <v>2.661757153143654E-2</v>
      </c>
      <c r="AP28" s="307">
        <f t="shared" si="60"/>
        <v>2.488576917284855E-2</v>
      </c>
      <c r="AQ28" s="307">
        <f t="shared" si="60"/>
        <v>1.442004141441173E-2</v>
      </c>
      <c r="AR28" s="307">
        <f t="shared" si="60"/>
        <v>1.2865345363050703E-2</v>
      </c>
      <c r="AS28" s="307">
        <f t="shared" si="60"/>
        <v>1.0191366273177396E-2</v>
      </c>
      <c r="AT28" s="307">
        <f t="shared" si="60"/>
        <v>1.3418325595300502E-2</v>
      </c>
      <c r="AU28" s="307">
        <f t="shared" si="60"/>
        <v>1.5920402547043584E-2</v>
      </c>
      <c r="AV28" s="307">
        <f t="shared" si="60"/>
        <v>1.3285609209198536E-2</v>
      </c>
      <c r="AW28" s="307">
        <f t="shared" si="60"/>
        <v>1.0780910942371085E-2</v>
      </c>
      <c r="AX28" s="307">
        <f t="shared" si="60"/>
        <v>7.6024778813977992E-3</v>
      </c>
      <c r="AY28" s="307">
        <f t="shared" si="60"/>
        <v>7.5276286903374623E-3</v>
      </c>
      <c r="AZ28" s="307">
        <f t="shared" si="60"/>
        <v>7.1776470357562917E-3</v>
      </c>
      <c r="BA28" s="307">
        <f t="shared" si="60"/>
        <v>5.7111964686631942E-3</v>
      </c>
      <c r="BB28" s="307">
        <f t="shared" si="60"/>
        <v>4.2056673940388759E-3</v>
      </c>
      <c r="BC28" s="307">
        <f t="shared" si="60"/>
        <v>3.9327433555455191E-3</v>
      </c>
      <c r="BD28" s="311">
        <f t="shared" si="60"/>
        <v>-7.3221175479844886E-2</v>
      </c>
      <c r="BE28" s="311">
        <f t="shared" si="60"/>
        <v>-1.4318002011485172E-2</v>
      </c>
      <c r="BF28" s="311">
        <f t="shared" si="60"/>
        <v>-1.1742534370063911E-2</v>
      </c>
      <c r="BG28" s="307">
        <f t="shared" si="60"/>
        <v>5.0274591656421924E-3</v>
      </c>
      <c r="BH28" s="307">
        <f t="shared" si="60"/>
        <v>2.6268489046598997E-3</v>
      </c>
      <c r="BI28" s="311">
        <f t="shared" si="60"/>
        <v>-1.3136558632155832E-3</v>
      </c>
      <c r="BJ28" s="307">
        <f t="shared" si="60"/>
        <v>4.3487661862579859E-4</v>
      </c>
      <c r="BK28" s="311">
        <f t="shared" si="60"/>
        <v>-1.9914155609299083E-2</v>
      </c>
      <c r="BL28" s="311">
        <f t="shared" si="60"/>
        <v>-1.2096363667646829E-2</v>
      </c>
      <c r="BM28" s="307">
        <f t="shared" si="60"/>
        <v>5.7834988897438209E-3</v>
      </c>
      <c r="BN28" s="307">
        <f t="shared" si="60"/>
        <v>6.7331794399547408E-3</v>
      </c>
      <c r="BO28" s="307">
        <f t="shared" si="60"/>
        <v>2.0947265975279359E-3</v>
      </c>
      <c r="BP28" s="309">
        <f t="shared" si="60"/>
        <v>2.5723736130097851E-3</v>
      </c>
      <c r="BQ28" s="305" t="s">
        <v>170</v>
      </c>
      <c r="BR28" s="310">
        <f t="shared" ref="BR28:CQ28" si="61">BR27/BR7</f>
        <v>4.963992741844025E-3</v>
      </c>
      <c r="BS28" s="307">
        <f t="shared" si="61"/>
        <v>9.6324783608259437E-3</v>
      </c>
      <c r="BT28" s="311">
        <f t="shared" si="61"/>
        <v>-1.4345447789625185E-3</v>
      </c>
      <c r="BU28" s="311">
        <f t="shared" si="61"/>
        <v>-1.3241846746020124E-3</v>
      </c>
      <c r="BV28" s="311">
        <f t="shared" si="61"/>
        <v>-0.10910544545804898</v>
      </c>
      <c r="BW28" s="311">
        <f t="shared" si="61"/>
        <v>-9.5933818524530076E-2</v>
      </c>
      <c r="BX28" s="307">
        <f t="shared" si="61"/>
        <v>4.9324890854945498E-3</v>
      </c>
      <c r="BY28" s="307">
        <f t="shared" si="61"/>
        <v>6.6758055556971124E-3</v>
      </c>
      <c r="BZ28" s="307">
        <f t="shared" si="61"/>
        <v>8.6613872788259081E-3</v>
      </c>
      <c r="CA28" s="307">
        <f t="shared" si="61"/>
        <v>7.2301255230125521E-3</v>
      </c>
      <c r="CB28" s="311">
        <f t="shared" si="61"/>
        <v>-9.5280775488616777E-3</v>
      </c>
      <c r="CC28" s="311">
        <f t="shared" si="61"/>
        <v>-8.7259795742873104E-3</v>
      </c>
      <c r="CD28" s="307">
        <f t="shared" si="61"/>
        <v>6.4243879650828341E-3</v>
      </c>
      <c r="CE28" s="307">
        <f t="shared" si="61"/>
        <v>1.0203397728251955E-2</v>
      </c>
      <c r="CF28" s="311">
        <f t="shared" si="61"/>
        <v>-2.8589262177246121E-2</v>
      </c>
      <c r="CG28" s="311">
        <f t="shared" si="61"/>
        <v>-1.4278477720861315E-2</v>
      </c>
      <c r="CH28" s="307">
        <f t="shared" si="61"/>
        <v>1.6939156747410186E-2</v>
      </c>
      <c r="CI28" s="307">
        <f t="shared" si="61"/>
        <v>2.3421779094576968E-2</v>
      </c>
      <c r="CJ28" s="307">
        <f t="shared" si="61"/>
        <v>2.1976761386105735E-2</v>
      </c>
      <c r="CK28" s="307">
        <f t="shared" si="61"/>
        <v>3.355650063151247E-2</v>
      </c>
      <c r="CL28" s="307">
        <f t="shared" si="61"/>
        <v>3.4569650519671855E-2</v>
      </c>
      <c r="CM28" s="307">
        <f t="shared" si="61"/>
        <v>3.9628907709129933E-2</v>
      </c>
      <c r="CN28" s="307">
        <f t="shared" ref="CN28:CO28" si="62">CN27/CN7</f>
        <v>5.6267284612209229E-2</v>
      </c>
      <c r="CO28" s="307">
        <f t="shared" si="62"/>
        <v>5.6655469435635784E-2</v>
      </c>
      <c r="CP28" s="307">
        <f t="shared" si="61"/>
        <v>5.086647063938083E-2</v>
      </c>
      <c r="CQ28" s="312">
        <f t="shared" si="61"/>
        <v>4.9296108936966732E-2</v>
      </c>
      <c r="CR28" s="307">
        <f t="shared" ref="CR28:CS28" si="63">CR27/CR7</f>
        <v>5.0898017060704306E-2</v>
      </c>
      <c r="CS28" s="312">
        <f t="shared" si="63"/>
        <v>4.8674319784916084E-2</v>
      </c>
      <c r="CT28" s="307">
        <f t="shared" ref="CT28:CU28" si="64">CT27/CT7</f>
        <v>5.5153305479954347E-2</v>
      </c>
      <c r="CU28" s="312">
        <f t="shared" si="64"/>
        <v>2.9398019087599619E-2</v>
      </c>
      <c r="CV28" s="307">
        <f t="shared" ref="CV28:CW28" si="65">CV27/CV7</f>
        <v>9.9012253951257359E-2</v>
      </c>
      <c r="CW28" s="312">
        <f t="shared" si="65"/>
        <v>3.4325921490607751E-2</v>
      </c>
      <c r="CX28" s="307">
        <f t="shared" ref="CX28:CY28" si="66">CX27/CX7</f>
        <v>7.819562069419457E-2</v>
      </c>
      <c r="CY28" s="309">
        <f t="shared" si="66"/>
        <v>3.9081170048263905E-2</v>
      </c>
      <c r="DD28" s="245"/>
      <c r="DE28" s="245"/>
      <c r="DF28" s="245"/>
      <c r="DG28" s="245"/>
      <c r="DH28" s="245"/>
      <c r="DI28" s="245"/>
      <c r="DJ28" s="245"/>
      <c r="DK28" s="245"/>
      <c r="DL28" s="245"/>
      <c r="DM28" s="245"/>
      <c r="DN28" s="245"/>
      <c r="DO28" s="245"/>
      <c r="DP28" s="245"/>
      <c r="DQ28" s="245"/>
    </row>
    <row r="29" spans="1:121" s="313" customFormat="1" ht="23.1" customHeight="1" thickBot="1">
      <c r="AS29" s="314"/>
    </row>
    <row r="30" spans="1:121" s="313" customFormat="1" ht="23.1" hidden="1" customHeight="1">
      <c r="A30" s="315" t="s">
        <v>535</v>
      </c>
      <c r="B30" s="316" t="s">
        <v>206</v>
      </c>
      <c r="C30" s="317" t="s">
        <v>206</v>
      </c>
      <c r="D30" s="318">
        <v>2.7</v>
      </c>
      <c r="E30" s="318">
        <v>3.5</v>
      </c>
      <c r="F30" s="318">
        <v>5</v>
      </c>
      <c r="G30" s="318">
        <v>7.5</v>
      </c>
      <c r="H30" s="318">
        <v>7.5</v>
      </c>
      <c r="I30" s="318">
        <v>7.5</v>
      </c>
      <c r="J30" s="318">
        <v>7.5</v>
      </c>
      <c r="K30" s="318">
        <v>7.5</v>
      </c>
      <c r="L30" s="318">
        <f>7.5+7.5</f>
        <v>15</v>
      </c>
      <c r="M30" s="318">
        <v>7.5</v>
      </c>
      <c r="N30" s="318">
        <v>7.5</v>
      </c>
      <c r="O30" s="318"/>
      <c r="P30" s="318">
        <v>7.5</v>
      </c>
      <c r="Q30" s="318">
        <v>7.5</v>
      </c>
      <c r="R30" s="318">
        <v>10</v>
      </c>
      <c r="S30" s="318">
        <v>10</v>
      </c>
      <c r="T30" s="318">
        <v>10</v>
      </c>
      <c r="U30" s="318">
        <v>10</v>
      </c>
      <c r="V30" s="318">
        <v>10</v>
      </c>
      <c r="W30" s="318">
        <v>10</v>
      </c>
      <c r="X30" s="318">
        <v>10</v>
      </c>
      <c r="Y30" s="319">
        <v>12.5</v>
      </c>
      <c r="Z30" s="318">
        <v>10</v>
      </c>
      <c r="AA30" s="318">
        <v>10</v>
      </c>
      <c r="AB30" s="318">
        <v>10</v>
      </c>
      <c r="AC30" s="318">
        <v>9</v>
      </c>
      <c r="AD30" s="318">
        <v>9</v>
      </c>
      <c r="AE30" s="318">
        <v>9</v>
      </c>
      <c r="AF30" s="318">
        <v>9</v>
      </c>
      <c r="AG30" s="318">
        <v>9</v>
      </c>
      <c r="AH30" s="320">
        <v>9</v>
      </c>
      <c r="AI30" s="315" t="s">
        <v>535</v>
      </c>
      <c r="AJ30" s="321">
        <v>9</v>
      </c>
      <c r="AK30" s="318">
        <v>9</v>
      </c>
      <c r="AL30" s="318">
        <v>9</v>
      </c>
      <c r="AM30" s="318">
        <v>9</v>
      </c>
      <c r="AN30" s="318">
        <v>9</v>
      </c>
      <c r="AO30" s="318">
        <v>9</v>
      </c>
      <c r="AP30" s="318">
        <v>9</v>
      </c>
      <c r="AQ30" s="318">
        <v>9</v>
      </c>
      <c r="AR30" s="318">
        <v>9</v>
      </c>
      <c r="AS30" s="318">
        <v>3</v>
      </c>
      <c r="AT30" s="318">
        <v>9</v>
      </c>
      <c r="AU30" s="318">
        <v>11</v>
      </c>
      <c r="AV30" s="318">
        <v>9</v>
      </c>
      <c r="AW30" s="318">
        <v>9</v>
      </c>
      <c r="AX30" s="318">
        <v>9</v>
      </c>
      <c r="AY30" s="318">
        <v>9</v>
      </c>
      <c r="AZ30" s="318">
        <v>9</v>
      </c>
      <c r="BA30" s="318">
        <v>9</v>
      </c>
      <c r="BB30" s="318">
        <v>9</v>
      </c>
      <c r="BC30" s="318">
        <v>9</v>
      </c>
      <c r="BD30" s="318">
        <v>9</v>
      </c>
      <c r="BE30" s="318">
        <v>9</v>
      </c>
      <c r="BF30" s="318"/>
      <c r="BG30" s="318">
        <v>9</v>
      </c>
      <c r="BH30" s="318"/>
      <c r="BI30" s="318">
        <v>9</v>
      </c>
      <c r="BJ30" s="318"/>
      <c r="BK30" s="318">
        <v>7</v>
      </c>
      <c r="BL30" s="318"/>
      <c r="BM30" s="318">
        <v>9</v>
      </c>
      <c r="BN30" s="318"/>
      <c r="BO30" s="318">
        <v>9</v>
      </c>
      <c r="BP30" s="320"/>
      <c r="BQ30" s="315" t="s">
        <v>535</v>
      </c>
      <c r="BR30" s="321">
        <v>9</v>
      </c>
      <c r="BS30" s="318"/>
      <c r="BT30" s="318">
        <v>7</v>
      </c>
      <c r="BU30" s="318"/>
      <c r="BV30" s="318">
        <v>7</v>
      </c>
      <c r="BW30" s="318"/>
      <c r="BX30" s="318">
        <v>7</v>
      </c>
      <c r="BY30" s="318"/>
      <c r="BZ30" s="318">
        <v>7</v>
      </c>
      <c r="CA30" s="318"/>
      <c r="CB30" s="318">
        <v>7</v>
      </c>
      <c r="CC30" s="318">
        <v>7</v>
      </c>
      <c r="CD30" s="318">
        <v>7</v>
      </c>
      <c r="CE30" s="318">
        <v>7</v>
      </c>
      <c r="CF30" s="318">
        <v>7</v>
      </c>
      <c r="CG30" s="318">
        <v>7</v>
      </c>
      <c r="CH30" s="318">
        <v>7</v>
      </c>
      <c r="CI30" s="318">
        <v>7</v>
      </c>
      <c r="CJ30" s="318">
        <v>9</v>
      </c>
      <c r="CK30" s="318">
        <v>9</v>
      </c>
      <c r="CL30" s="318">
        <v>11</v>
      </c>
      <c r="CM30" s="318">
        <v>11</v>
      </c>
      <c r="CN30" s="318"/>
      <c r="CO30" s="318"/>
      <c r="CP30" s="318">
        <v>14</v>
      </c>
      <c r="CQ30" s="320">
        <v>14</v>
      </c>
      <c r="CR30" s="318">
        <v>14</v>
      </c>
      <c r="CS30" s="320">
        <v>14</v>
      </c>
      <c r="CT30" s="318">
        <v>14</v>
      </c>
      <c r="CU30" s="320">
        <v>14</v>
      </c>
      <c r="CV30" s="318">
        <v>14</v>
      </c>
      <c r="CW30" s="320">
        <v>14</v>
      </c>
      <c r="CX30" s="318">
        <v>14</v>
      </c>
      <c r="CY30" s="320">
        <v>14</v>
      </c>
    </row>
    <row r="31" spans="1:121" s="313" customFormat="1" ht="23.1" hidden="1" customHeight="1" thickBot="1">
      <c r="A31" s="322" t="s">
        <v>536</v>
      </c>
      <c r="B31" s="323"/>
      <c r="C31" s="324"/>
      <c r="D31" s="324"/>
      <c r="E31" s="324"/>
      <c r="F31" s="324"/>
      <c r="G31" s="324"/>
      <c r="H31" s="324"/>
      <c r="I31" s="324"/>
      <c r="J31" s="324"/>
      <c r="K31" s="324"/>
      <c r="L31" s="324"/>
      <c r="M31" s="324"/>
      <c r="N31" s="324"/>
      <c r="O31" s="324"/>
      <c r="P31" s="324"/>
      <c r="Q31" s="324"/>
      <c r="R31" s="324"/>
      <c r="S31" s="324"/>
      <c r="T31" s="324"/>
      <c r="U31" s="324"/>
      <c r="V31" s="324"/>
      <c r="W31" s="324"/>
      <c r="X31" s="324"/>
      <c r="Y31" s="324"/>
      <c r="Z31" s="324"/>
      <c r="AA31" s="324"/>
      <c r="AB31" s="324"/>
      <c r="AC31" s="324"/>
      <c r="AD31" s="324"/>
      <c r="AE31" s="324"/>
      <c r="AF31" s="324"/>
      <c r="AG31" s="324"/>
      <c r="AH31" s="325"/>
      <c r="AI31" s="322" t="s">
        <v>536</v>
      </c>
      <c r="AJ31" s="326"/>
      <c r="AK31" s="324"/>
      <c r="AL31" s="324"/>
      <c r="AM31" s="324"/>
      <c r="AN31" s="324"/>
      <c r="AO31" s="324"/>
      <c r="AP31" s="324">
        <v>0.17899999999999999</v>
      </c>
      <c r="AQ31" s="324">
        <v>0.27700000000000002</v>
      </c>
      <c r="AR31" s="324">
        <v>0.308</v>
      </c>
      <c r="AS31" s="324">
        <v>0.38300000000000001</v>
      </c>
      <c r="AT31" s="324">
        <v>0.27900000000000003</v>
      </c>
      <c r="AU31" s="324">
        <v>0.28000000000000003</v>
      </c>
      <c r="AV31" s="324">
        <v>0.25</v>
      </c>
      <c r="AW31" s="324">
        <v>0.29199999999999998</v>
      </c>
      <c r="AX31" s="324">
        <v>0.41399999999999998</v>
      </c>
      <c r="AY31" s="324">
        <v>0.39800000000000002</v>
      </c>
      <c r="AZ31" s="324">
        <v>0.42299999999999999</v>
      </c>
      <c r="BA31" s="324">
        <v>0.54600000000000004</v>
      </c>
      <c r="BB31" s="324">
        <v>0.82299999999999995</v>
      </c>
      <c r="BC31" s="324">
        <v>0.85899999999999999</v>
      </c>
      <c r="BD31" s="327" t="s">
        <v>206</v>
      </c>
      <c r="BE31" s="327" t="s">
        <v>206</v>
      </c>
      <c r="BF31" s="324"/>
      <c r="BG31" s="324">
        <v>0.81</v>
      </c>
      <c r="BH31" s="324"/>
      <c r="BI31" s="327" t="s">
        <v>206</v>
      </c>
      <c r="BJ31" s="327" t="s">
        <v>206</v>
      </c>
      <c r="BK31" s="327" t="s">
        <v>206</v>
      </c>
      <c r="BL31" s="327" t="s">
        <v>206</v>
      </c>
      <c r="BM31" s="324">
        <v>0.66600000000000004</v>
      </c>
      <c r="BN31" s="324"/>
      <c r="BO31" s="324">
        <v>1.9019999999999999</v>
      </c>
      <c r="BP31" s="325"/>
      <c r="BQ31" s="328" t="s">
        <v>536</v>
      </c>
      <c r="BR31" s="329">
        <v>0.79300000000000004</v>
      </c>
      <c r="BS31" s="330"/>
      <c r="BT31" s="331" t="s">
        <v>206</v>
      </c>
      <c r="BU31" s="331" t="s">
        <v>206</v>
      </c>
      <c r="BV31" s="331" t="s">
        <v>206</v>
      </c>
      <c r="BW31" s="331" t="s">
        <v>206</v>
      </c>
      <c r="BX31" s="330">
        <v>0.76</v>
      </c>
      <c r="BY31" s="330"/>
      <c r="BZ31" s="330">
        <v>0.51900000000000002</v>
      </c>
      <c r="CA31" s="330"/>
      <c r="CB31" s="331" t="s">
        <v>206</v>
      </c>
      <c r="CC31" s="331" t="s">
        <v>206</v>
      </c>
      <c r="CD31" s="330">
        <v>0.77859999999999996</v>
      </c>
      <c r="CE31" s="330">
        <v>0.38700000000000001</v>
      </c>
      <c r="CF31" s="331" t="s">
        <v>206</v>
      </c>
      <c r="CG31" s="331" t="s">
        <v>206</v>
      </c>
      <c r="CH31" s="330">
        <v>0.23619999999999999</v>
      </c>
      <c r="CI31" s="330">
        <v>0.13400000000000001</v>
      </c>
      <c r="CJ31" s="330">
        <v>0.2288</v>
      </c>
      <c r="CK31" s="330">
        <v>0.11700000000000001</v>
      </c>
      <c r="CL31" s="330">
        <v>0.158</v>
      </c>
      <c r="CM31" s="330">
        <v>0.111</v>
      </c>
      <c r="CN31" s="330"/>
      <c r="CO31" s="330"/>
      <c r="CP31" s="330">
        <v>0.1386</v>
      </c>
      <c r="CQ31" s="332">
        <v>0.106</v>
      </c>
      <c r="CR31" s="330">
        <v>0.1386</v>
      </c>
      <c r="CS31" s="332">
        <v>0.106</v>
      </c>
      <c r="CT31" s="330">
        <v>0.1386</v>
      </c>
      <c r="CU31" s="332">
        <v>0.106</v>
      </c>
      <c r="CV31" s="330">
        <v>0.1386</v>
      </c>
      <c r="CW31" s="332">
        <v>0.106</v>
      </c>
      <c r="CX31" s="330">
        <v>0.1386</v>
      </c>
      <c r="CY31" s="332">
        <v>0.106</v>
      </c>
    </row>
    <row r="32" spans="1:121" s="313" customFormat="1" ht="23.1" customHeight="1" thickBot="1">
      <c r="A32" s="333"/>
      <c r="B32" s="334"/>
      <c r="C32" s="334"/>
      <c r="D32" s="334"/>
      <c r="E32" s="334"/>
      <c r="F32" s="334"/>
      <c r="G32" s="334"/>
      <c r="H32" s="334"/>
      <c r="I32" s="334"/>
      <c r="J32" s="334"/>
      <c r="K32" s="334"/>
      <c r="L32" s="334"/>
      <c r="M32" s="334"/>
      <c r="N32" s="334"/>
      <c r="O32" s="334"/>
      <c r="P32" s="334"/>
      <c r="Q32" s="334"/>
      <c r="R32" s="334"/>
      <c r="S32" s="334"/>
      <c r="T32" s="334"/>
      <c r="U32" s="334"/>
      <c r="V32" s="334"/>
      <c r="W32" s="334"/>
      <c r="X32" s="334"/>
      <c r="Y32" s="334"/>
      <c r="Z32" s="334"/>
      <c r="AA32" s="334"/>
      <c r="AB32" s="334"/>
      <c r="AC32" s="334"/>
      <c r="AD32" s="334"/>
      <c r="AE32" s="334"/>
      <c r="AF32" s="334"/>
      <c r="AG32" s="334"/>
      <c r="AH32" s="334"/>
      <c r="AI32" s="333"/>
      <c r="AJ32" s="334"/>
      <c r="AK32" s="334"/>
      <c r="AL32" s="334"/>
      <c r="AM32" s="334"/>
      <c r="AN32" s="334"/>
      <c r="AO32" s="334"/>
      <c r="AP32" s="334"/>
      <c r="AQ32" s="334"/>
      <c r="AR32" s="334"/>
      <c r="AS32" s="334"/>
      <c r="AT32" s="334"/>
      <c r="AU32" s="334"/>
      <c r="AV32" s="334"/>
      <c r="AW32" s="334"/>
      <c r="AX32" s="334"/>
      <c r="AY32" s="334"/>
      <c r="AZ32" s="334"/>
      <c r="BA32" s="334"/>
      <c r="BB32" s="334"/>
      <c r="BC32" s="334"/>
      <c r="BD32" s="335"/>
      <c r="BE32" s="335"/>
      <c r="BF32" s="334"/>
      <c r="BG32" s="334"/>
      <c r="BH32" s="334"/>
      <c r="BI32" s="335"/>
      <c r="BJ32" s="335"/>
      <c r="BK32" s="335"/>
      <c r="BL32" s="335"/>
      <c r="BM32" s="334"/>
      <c r="BN32" s="334"/>
      <c r="BO32" s="334"/>
      <c r="BP32" s="334"/>
      <c r="BQ32" s="336" t="s">
        <v>537</v>
      </c>
      <c r="BR32" s="337">
        <f>+BR27/((BR56-BR55+BO56-BO55)/2)</f>
        <v>1.3197076079523281E-2</v>
      </c>
      <c r="BS32" s="338">
        <f>+BS27/((BS56-BS55+BP56-BP55)/2)</f>
        <v>2.5564452455719359E-2</v>
      </c>
      <c r="BT32" s="338">
        <f t="shared" ref="BT32:CO32" si="67">+BT27/((BT56-BT55+BR56-BR55)/2)</f>
        <v>-3.6634971000176382E-3</v>
      </c>
      <c r="BU32" s="338">
        <f t="shared" si="67"/>
        <v>-3.3693949174054584E-3</v>
      </c>
      <c r="BV32" s="338">
        <f t="shared" si="67"/>
        <v>-0.33077065362552449</v>
      </c>
      <c r="BW32" s="338">
        <f t="shared" si="67"/>
        <v>-0.2863698313265064</v>
      </c>
      <c r="BX32" s="338">
        <f t="shared" si="67"/>
        <v>1.6825534934681419E-2</v>
      </c>
      <c r="BY32" s="338">
        <f t="shared" si="67"/>
        <v>2.1209937908311542E-2</v>
      </c>
      <c r="BZ32" s="338">
        <f t="shared" si="67"/>
        <v>2.5562679973146502E-2</v>
      </c>
      <c r="CA32" s="338">
        <f t="shared" si="67"/>
        <v>1.9781290196355945E-2</v>
      </c>
      <c r="CB32" s="338">
        <f t="shared" si="67"/>
        <v>-2.4529144273203313E-2</v>
      </c>
      <c r="CC32" s="338">
        <f t="shared" si="67"/>
        <v>-2.1456100077922625E-2</v>
      </c>
      <c r="CD32" s="338">
        <f t="shared" si="67"/>
        <v>1.7914722047273766E-2</v>
      </c>
      <c r="CE32" s="338">
        <f t="shared" si="67"/>
        <v>2.7500010752271955E-2</v>
      </c>
      <c r="CF32" s="338">
        <f t="shared" si="67"/>
        <v>-9.396346653281247E-2</v>
      </c>
      <c r="CG32" s="338">
        <f t="shared" si="67"/>
        <v>-4.4794194006195213E-2</v>
      </c>
      <c r="CH32" s="338">
        <f t="shared" si="67"/>
        <v>5.7713651498335183E-2</v>
      </c>
      <c r="CI32" s="338">
        <f t="shared" si="67"/>
        <v>7.6522184413095912E-2</v>
      </c>
      <c r="CJ32" s="338">
        <f t="shared" si="67"/>
        <v>6.6507402145960001E-2</v>
      </c>
      <c r="CK32" s="338">
        <f t="shared" si="67"/>
        <v>9.8166282988504092E-2</v>
      </c>
      <c r="CL32" s="338">
        <f t="shared" si="67"/>
        <v>0.10551967333297838</v>
      </c>
      <c r="CM32" s="338">
        <f t="shared" si="67"/>
        <v>0.11296718756554258</v>
      </c>
      <c r="CN32" s="338">
        <f t="shared" si="67"/>
        <v>0.13758736913542211</v>
      </c>
      <c r="CO32" s="338">
        <f t="shared" si="67"/>
        <v>0.13772966420343863</v>
      </c>
      <c r="CP32" s="338">
        <f t="shared" ref="CP32:CU32" si="68">+CP27/((CP56-CP55+CN56-CN55)/2)</f>
        <v>0.11721515361490195</v>
      </c>
      <c r="CQ32" s="339">
        <f t="shared" si="68"/>
        <v>0.11202555847032761</v>
      </c>
      <c r="CR32" s="338">
        <f t="shared" si="68"/>
        <v>0.11231526538854428</v>
      </c>
      <c r="CS32" s="339">
        <f t="shared" si="68"/>
        <v>0.10407083693442494</v>
      </c>
      <c r="CT32" s="338">
        <f t="shared" si="68"/>
        <v>0.11306391389444896</v>
      </c>
      <c r="CU32" s="339">
        <f t="shared" si="68"/>
        <v>6.1342765856433459E-2</v>
      </c>
      <c r="CV32" s="338">
        <f t="shared" ref="CV32" si="69">+CV27/((CV56-CV55+CT56-CT55)/2)</f>
        <v>0.17218426390113156</v>
      </c>
      <c r="CW32" s="339">
        <f>+CW27/((CW56-CW55+CU56-CU55)/2)</f>
        <v>9.3395690756936461E-2</v>
      </c>
      <c r="CX32" s="338">
        <f t="shared" ref="CX32" si="70">+CX27/((CX56-CX55+CV56-CV55)/2)</f>
        <v>0.11914958024693015</v>
      </c>
      <c r="CY32" s="340">
        <f>+CY27/((CY56-CY55+CW56-CW55)/2)</f>
        <v>8.6521270474199066E-2</v>
      </c>
    </row>
    <row r="33" spans="1:136" s="313" customFormat="1" ht="23.1" customHeight="1" thickBot="1">
      <c r="A33" s="333"/>
      <c r="B33" s="334"/>
      <c r="C33" s="334"/>
      <c r="D33" s="334"/>
      <c r="E33" s="334"/>
      <c r="F33" s="334"/>
      <c r="G33" s="334"/>
      <c r="H33" s="334"/>
      <c r="I33" s="334"/>
      <c r="J33" s="334"/>
      <c r="K33" s="334"/>
      <c r="L33" s="334"/>
      <c r="M33" s="334"/>
      <c r="N33" s="334"/>
      <c r="O33" s="334"/>
      <c r="P33" s="334"/>
      <c r="Q33" s="334"/>
      <c r="R33" s="334"/>
      <c r="S33" s="334"/>
      <c r="T33" s="334"/>
      <c r="U33" s="334"/>
      <c r="V33" s="334"/>
      <c r="W33" s="334"/>
      <c r="X33" s="334"/>
      <c r="Y33" s="334"/>
      <c r="Z33" s="334"/>
      <c r="AA33" s="334"/>
      <c r="AB33" s="334"/>
      <c r="AC33" s="334"/>
      <c r="AD33" s="334"/>
      <c r="AE33" s="334"/>
      <c r="AF33" s="334"/>
      <c r="AG33" s="334"/>
      <c r="AH33" s="334"/>
      <c r="AI33" s="333"/>
      <c r="AJ33" s="334"/>
      <c r="AK33" s="334"/>
      <c r="AL33" s="334"/>
      <c r="AM33" s="334"/>
      <c r="AN33" s="334"/>
      <c r="AO33" s="334"/>
      <c r="AP33" s="334"/>
      <c r="AQ33" s="334"/>
      <c r="AR33" s="334"/>
      <c r="AS33" s="334"/>
      <c r="AT33" s="334"/>
      <c r="AU33" s="334"/>
      <c r="AV33" s="334"/>
      <c r="AW33" s="334"/>
      <c r="AX33" s="334"/>
      <c r="AY33" s="334"/>
      <c r="AZ33" s="334"/>
      <c r="BA33" s="334"/>
      <c r="BB33" s="334"/>
      <c r="BC33" s="334"/>
      <c r="BD33" s="335"/>
      <c r="BE33" s="335"/>
      <c r="BF33" s="334"/>
      <c r="BG33" s="334"/>
      <c r="BH33" s="334"/>
      <c r="BI33" s="335"/>
      <c r="BJ33" s="335"/>
      <c r="BK33" s="335"/>
      <c r="BL33" s="335"/>
      <c r="BM33" s="334"/>
      <c r="BN33" s="334"/>
      <c r="BO33" s="334"/>
      <c r="BP33" s="334"/>
      <c r="BQ33" s="225" t="s">
        <v>538</v>
      </c>
      <c r="BR33" s="334"/>
      <c r="BS33" s="334"/>
      <c r="BT33" s="335"/>
      <c r="BU33" s="335"/>
      <c r="BV33" s="335"/>
      <c r="BW33" s="335"/>
      <c r="BX33" s="334"/>
      <c r="BY33" s="334"/>
      <c r="BZ33" s="334"/>
      <c r="CA33" s="334"/>
      <c r="CB33" s="335"/>
      <c r="CC33" s="335"/>
      <c r="CD33" s="334"/>
      <c r="CE33" s="334"/>
      <c r="CF33" s="335"/>
      <c r="CG33" s="335"/>
      <c r="CH33" s="334"/>
      <c r="CI33" s="334"/>
      <c r="CJ33" s="334"/>
      <c r="CK33" s="334"/>
      <c r="CL33" s="334"/>
      <c r="CM33" s="334"/>
      <c r="CN33" s="334"/>
      <c r="CO33" s="334"/>
      <c r="CP33" s="334"/>
      <c r="CQ33" s="334"/>
      <c r="CR33" s="334"/>
      <c r="CS33" s="334"/>
      <c r="CT33" s="334"/>
      <c r="CU33" s="334"/>
      <c r="CV33" s="334"/>
      <c r="CW33" s="334"/>
      <c r="CX33" s="334"/>
      <c r="CY33" s="334"/>
    </row>
    <row r="34" spans="1:136" s="313" customFormat="1" ht="23.1" customHeight="1">
      <c r="A34" s="333"/>
      <c r="B34" s="334"/>
      <c r="C34" s="334"/>
      <c r="D34" s="334"/>
      <c r="E34" s="334"/>
      <c r="F34" s="334"/>
      <c r="G34" s="334"/>
      <c r="H34" s="334"/>
      <c r="I34" s="334"/>
      <c r="J34" s="334"/>
      <c r="K34" s="334"/>
      <c r="L34" s="334"/>
      <c r="M34" s="334"/>
      <c r="N34" s="334"/>
      <c r="O34" s="334"/>
      <c r="P34" s="334"/>
      <c r="Q34" s="334"/>
      <c r="R34" s="334"/>
      <c r="S34" s="334"/>
      <c r="T34" s="334"/>
      <c r="U34" s="334"/>
      <c r="V34" s="334"/>
      <c r="W34" s="334"/>
      <c r="X34" s="334"/>
      <c r="Y34" s="334"/>
      <c r="Z34" s="334"/>
      <c r="AA34" s="334"/>
      <c r="AB34" s="334"/>
      <c r="AC34" s="334"/>
      <c r="AD34" s="334"/>
      <c r="AE34" s="334"/>
      <c r="AF34" s="334"/>
      <c r="AG34" s="334"/>
      <c r="AH34" s="334"/>
      <c r="AI34" s="333"/>
      <c r="AJ34" s="334"/>
      <c r="AK34" s="334"/>
      <c r="AL34" s="334"/>
      <c r="AM34" s="334"/>
      <c r="AN34" s="334"/>
      <c r="AO34" s="334"/>
      <c r="AP34" s="334"/>
      <c r="AQ34" s="334"/>
      <c r="AR34" s="334"/>
      <c r="AS34" s="334"/>
      <c r="AT34" s="334"/>
      <c r="AU34" s="334"/>
      <c r="AV34" s="334"/>
      <c r="AW34" s="334"/>
      <c r="AX34" s="334"/>
      <c r="AY34" s="334"/>
      <c r="AZ34" s="334"/>
      <c r="BA34" s="334"/>
      <c r="BB34" s="334"/>
      <c r="BC34" s="334"/>
      <c r="BD34" s="335"/>
      <c r="BE34" s="335"/>
      <c r="BF34" s="334"/>
      <c r="BG34" s="334"/>
      <c r="BH34" s="334"/>
      <c r="BI34" s="335"/>
      <c r="BJ34" s="335"/>
      <c r="BK34" s="335"/>
      <c r="BL34" s="335"/>
      <c r="BM34" s="334"/>
      <c r="BN34" s="334"/>
      <c r="BO34" s="334"/>
      <c r="BP34" s="334"/>
      <c r="BQ34" s="341" t="s">
        <v>539</v>
      </c>
      <c r="BR34" s="321">
        <v>9</v>
      </c>
      <c r="BS34" s="318">
        <v>9</v>
      </c>
      <c r="BT34" s="318">
        <v>7</v>
      </c>
      <c r="BU34" s="318">
        <v>7</v>
      </c>
      <c r="BV34" s="318">
        <v>7</v>
      </c>
      <c r="BW34" s="318">
        <v>7</v>
      </c>
      <c r="BX34" s="318">
        <v>7</v>
      </c>
      <c r="BY34" s="318">
        <v>7</v>
      </c>
      <c r="BZ34" s="318">
        <v>7</v>
      </c>
      <c r="CA34" s="318">
        <v>7</v>
      </c>
      <c r="CB34" s="318">
        <v>7</v>
      </c>
      <c r="CC34" s="318">
        <v>7</v>
      </c>
      <c r="CD34" s="318">
        <v>7</v>
      </c>
      <c r="CE34" s="318">
        <v>7</v>
      </c>
      <c r="CF34" s="318">
        <v>7</v>
      </c>
      <c r="CG34" s="318">
        <v>7</v>
      </c>
      <c r="CH34" s="318">
        <v>7</v>
      </c>
      <c r="CI34" s="318">
        <v>7</v>
      </c>
      <c r="CJ34" s="318">
        <v>9</v>
      </c>
      <c r="CK34" s="318">
        <v>9</v>
      </c>
      <c r="CL34" s="318">
        <v>11</v>
      </c>
      <c r="CM34" s="318">
        <v>11</v>
      </c>
      <c r="CN34" s="342">
        <v>14</v>
      </c>
      <c r="CO34" s="342">
        <v>14</v>
      </c>
      <c r="CP34" s="342">
        <v>16</v>
      </c>
      <c r="CQ34" s="343">
        <v>16</v>
      </c>
      <c r="CR34" s="342">
        <v>20</v>
      </c>
      <c r="CS34" s="343">
        <v>20</v>
      </c>
      <c r="CT34" s="342">
        <v>20</v>
      </c>
      <c r="CU34" s="343">
        <v>20</v>
      </c>
      <c r="CV34" s="342">
        <v>38</v>
      </c>
      <c r="CW34" s="343">
        <v>38</v>
      </c>
      <c r="CX34" s="412" t="s">
        <v>206</v>
      </c>
      <c r="CY34" s="344">
        <v>40</v>
      </c>
    </row>
    <row r="35" spans="1:136" s="313" customFormat="1" ht="23.1" customHeight="1" thickBot="1">
      <c r="A35" s="333"/>
      <c r="B35" s="334"/>
      <c r="C35" s="334"/>
      <c r="D35" s="334"/>
      <c r="E35" s="334"/>
      <c r="F35" s="334"/>
      <c r="G35" s="334"/>
      <c r="H35" s="334"/>
      <c r="I35" s="334"/>
      <c r="J35" s="334"/>
      <c r="K35" s="334"/>
      <c r="L35" s="334"/>
      <c r="M35" s="334"/>
      <c r="N35" s="334"/>
      <c r="O35" s="334"/>
      <c r="P35" s="334"/>
      <c r="Q35" s="334"/>
      <c r="R35" s="334"/>
      <c r="S35" s="334"/>
      <c r="T35" s="334"/>
      <c r="U35" s="334"/>
      <c r="V35" s="334"/>
      <c r="W35" s="334"/>
      <c r="X35" s="334"/>
      <c r="Y35" s="334"/>
      <c r="Z35" s="334"/>
      <c r="AA35" s="334"/>
      <c r="AB35" s="334"/>
      <c r="AC35" s="334"/>
      <c r="AD35" s="334"/>
      <c r="AE35" s="334"/>
      <c r="AF35" s="334"/>
      <c r="AG35" s="334"/>
      <c r="AH35" s="334"/>
      <c r="AI35" s="333"/>
      <c r="AJ35" s="334"/>
      <c r="AK35" s="334"/>
      <c r="AL35" s="334"/>
      <c r="AM35" s="334"/>
      <c r="AN35" s="334"/>
      <c r="AO35" s="334"/>
      <c r="AP35" s="334"/>
      <c r="AQ35" s="334"/>
      <c r="AR35" s="334"/>
      <c r="AS35" s="334"/>
      <c r="AT35" s="334"/>
      <c r="AU35" s="334"/>
      <c r="AV35" s="334"/>
      <c r="AW35" s="334"/>
      <c r="AX35" s="334"/>
      <c r="AY35" s="334"/>
      <c r="AZ35" s="334"/>
      <c r="BA35" s="334"/>
      <c r="BB35" s="334"/>
      <c r="BC35" s="334"/>
      <c r="BD35" s="335"/>
      <c r="BE35" s="335"/>
      <c r="BF35" s="334"/>
      <c r="BG35" s="334"/>
      <c r="BH35" s="334"/>
      <c r="BI35" s="335"/>
      <c r="BJ35" s="335"/>
      <c r="BK35" s="335"/>
      <c r="BL35" s="335"/>
      <c r="BM35" s="334"/>
      <c r="BN35" s="334"/>
      <c r="BO35" s="334"/>
      <c r="BP35" s="334"/>
      <c r="BQ35" s="345" t="s">
        <v>536</v>
      </c>
      <c r="BR35" s="326">
        <v>0.79300000000000004</v>
      </c>
      <c r="BS35" s="324">
        <v>0.32</v>
      </c>
      <c r="BT35" s="327" t="s">
        <v>206</v>
      </c>
      <c r="BU35" s="327" t="s">
        <v>206</v>
      </c>
      <c r="BV35" s="327" t="s">
        <v>206</v>
      </c>
      <c r="BW35" s="327" t="s">
        <v>206</v>
      </c>
      <c r="BX35" s="324">
        <v>0.76</v>
      </c>
      <c r="BY35" s="324">
        <v>0.47299999999999998</v>
      </c>
      <c r="BZ35" s="324">
        <v>0.51900000000000002</v>
      </c>
      <c r="CA35" s="324">
        <v>0.52100000000000002</v>
      </c>
      <c r="CB35" s="327" t="s">
        <v>206</v>
      </c>
      <c r="CC35" s="327" t="s">
        <v>206</v>
      </c>
      <c r="CD35" s="324">
        <v>0.77859999999999996</v>
      </c>
      <c r="CE35" s="324">
        <v>0.38700000000000001</v>
      </c>
      <c r="CF35" s="327" t="s">
        <v>206</v>
      </c>
      <c r="CG35" s="327" t="s">
        <v>206</v>
      </c>
      <c r="CH35" s="324">
        <v>0.23619999999999999</v>
      </c>
      <c r="CI35" s="324">
        <v>0.13400000000000001</v>
      </c>
      <c r="CJ35" s="324">
        <v>0.2288</v>
      </c>
      <c r="CK35" s="324">
        <v>0.11700000000000001</v>
      </c>
      <c r="CL35" s="324">
        <v>0.158</v>
      </c>
      <c r="CM35" s="324">
        <v>0.111</v>
      </c>
      <c r="CN35" s="346">
        <v>0.1386</v>
      </c>
      <c r="CO35" s="346">
        <v>0.106</v>
      </c>
      <c r="CP35" s="346">
        <v>0.16600000000000001</v>
      </c>
      <c r="CQ35" s="347">
        <v>0.13200000000000001</v>
      </c>
      <c r="CR35" s="346">
        <f>20/103.31</f>
        <v>0.19359210144226116</v>
      </c>
      <c r="CS35" s="347">
        <f>20/126.14</f>
        <v>0.15855398763278897</v>
      </c>
      <c r="CT35" s="346">
        <f>20/110.36</f>
        <v>0.18122508155128669</v>
      </c>
      <c r="CU35" s="347">
        <f>20/77.24</f>
        <v>0.25893319523562924</v>
      </c>
      <c r="CV35" s="346">
        <f>38/187.33</f>
        <v>0.20285058452997384</v>
      </c>
      <c r="CW35" s="347">
        <f>38/125.27</f>
        <v>0.30334477528538356</v>
      </c>
      <c r="CX35" s="413" t="s">
        <v>206</v>
      </c>
      <c r="CY35" s="348">
        <f>40/94.26</f>
        <v>0.42435815828559303</v>
      </c>
    </row>
    <row r="36" spans="1:136" s="313" customFormat="1" ht="23.1" customHeight="1">
      <c r="AS36" s="314"/>
      <c r="CP36" s="349"/>
      <c r="CR36" s="349"/>
      <c r="CT36" s="349"/>
      <c r="CV36" s="349"/>
      <c r="CX36" s="349"/>
    </row>
    <row r="37" spans="1:136" ht="23.1" customHeight="1" thickBot="1">
      <c r="A37" s="350"/>
      <c r="B37" s="350"/>
      <c r="C37" s="351"/>
      <c r="D37" s="351"/>
      <c r="E37" s="351"/>
      <c r="F37" s="351"/>
      <c r="G37" s="351"/>
      <c r="I37" s="351"/>
      <c r="J37" s="351"/>
      <c r="K37" s="351"/>
      <c r="L37" s="351"/>
      <c r="M37" s="351"/>
      <c r="N37" s="351"/>
      <c r="O37" s="351"/>
      <c r="P37" s="351"/>
      <c r="Q37" s="351"/>
      <c r="R37" s="351"/>
      <c r="S37" s="351"/>
      <c r="T37" s="351"/>
      <c r="U37" s="351"/>
      <c r="V37" s="351"/>
      <c r="W37" s="351"/>
      <c r="X37" s="351"/>
      <c r="Y37" s="351"/>
      <c r="Z37" s="351"/>
      <c r="AA37" s="351"/>
      <c r="AB37" s="351"/>
      <c r="AC37" s="351"/>
      <c r="AD37" s="245"/>
      <c r="AE37" s="245"/>
      <c r="AF37" s="245"/>
      <c r="AG37" s="245"/>
      <c r="AH37" s="245"/>
      <c r="AI37" s="350"/>
      <c r="AJ37" s="245"/>
      <c r="AK37" s="245"/>
      <c r="AL37" s="245"/>
      <c r="AM37" s="245"/>
      <c r="AN37" s="245"/>
      <c r="AO37" s="245"/>
      <c r="AP37" s="245"/>
      <c r="AQ37" s="245"/>
      <c r="AR37" s="245"/>
      <c r="AS37" s="245"/>
      <c r="AT37" s="245"/>
      <c r="AU37" s="245"/>
      <c r="AV37" s="245"/>
      <c r="AW37" s="245"/>
      <c r="AX37" s="245"/>
      <c r="AY37" s="245"/>
      <c r="AZ37" s="245"/>
      <c r="BA37" s="352"/>
      <c r="BB37" s="352"/>
      <c r="BC37" s="352"/>
      <c r="BD37" s="352"/>
      <c r="BE37" s="352"/>
      <c r="BF37" s="352"/>
      <c r="BG37" s="352"/>
      <c r="BH37" s="352"/>
      <c r="BI37" s="352"/>
      <c r="BJ37" s="352"/>
      <c r="BK37" s="352"/>
      <c r="BL37" s="352"/>
      <c r="BM37" s="352"/>
      <c r="BN37" s="352"/>
      <c r="BO37" s="352"/>
      <c r="BP37" s="352"/>
      <c r="BQ37" s="350"/>
      <c r="BR37" s="352"/>
      <c r="BS37" s="352"/>
      <c r="BT37" s="352"/>
      <c r="BU37" s="352"/>
      <c r="BV37" s="352"/>
      <c r="BW37" s="352"/>
      <c r="BX37" s="352"/>
      <c r="BY37" s="352"/>
      <c r="BZ37" s="352"/>
      <c r="CA37" s="352"/>
      <c r="CB37" s="352"/>
      <c r="CC37" s="352"/>
      <c r="CD37" s="352"/>
      <c r="CE37" s="352"/>
      <c r="CF37" s="352"/>
      <c r="CG37" s="352"/>
      <c r="CH37" s="352"/>
    </row>
    <row r="38" spans="1:136" ht="23.1" customHeight="1" thickBot="1">
      <c r="A38" s="222" t="s">
        <v>540</v>
      </c>
      <c r="B38" s="223"/>
      <c r="C38" s="224"/>
      <c r="D38" s="224"/>
      <c r="AI38" s="222" t="s">
        <v>540</v>
      </c>
      <c r="AS38" s="225" t="s">
        <v>287</v>
      </c>
      <c r="BQ38" s="222" t="s">
        <v>540</v>
      </c>
      <c r="CQ38" s="226"/>
      <c r="CS38" s="226"/>
      <c r="CU38" s="226"/>
      <c r="CW38" s="226" t="s">
        <v>288</v>
      </c>
      <c r="CY38" s="226" t="s">
        <v>288</v>
      </c>
    </row>
    <row r="39" spans="1:136" ht="23.1" customHeight="1">
      <c r="A39" s="224"/>
      <c r="B39" s="227" t="s">
        <v>289</v>
      </c>
      <c r="C39" s="227" t="s">
        <v>290</v>
      </c>
      <c r="D39" s="227" t="s">
        <v>291</v>
      </c>
      <c r="E39" s="227" t="s">
        <v>292</v>
      </c>
      <c r="F39" s="227" t="s">
        <v>293</v>
      </c>
      <c r="G39" s="227" t="s">
        <v>294</v>
      </c>
      <c r="H39" s="227" t="s">
        <v>295</v>
      </c>
      <c r="I39" s="227" t="s">
        <v>296</v>
      </c>
      <c r="J39" s="227" t="s">
        <v>297</v>
      </c>
      <c r="K39" s="227" t="s">
        <v>298</v>
      </c>
      <c r="L39" s="227" t="s">
        <v>299</v>
      </c>
      <c r="M39" s="227" t="s">
        <v>300</v>
      </c>
      <c r="N39" s="227" t="s">
        <v>301</v>
      </c>
      <c r="O39" s="227" t="s">
        <v>302</v>
      </c>
      <c r="P39" s="227" t="s">
        <v>303</v>
      </c>
      <c r="Q39" s="227" t="s">
        <v>304</v>
      </c>
      <c r="R39" s="227" t="s">
        <v>305</v>
      </c>
      <c r="S39" s="227" t="s">
        <v>306</v>
      </c>
      <c r="T39" s="227" t="s">
        <v>307</v>
      </c>
      <c r="U39" s="227" t="s">
        <v>308</v>
      </c>
      <c r="V39" s="227" t="s">
        <v>309</v>
      </c>
      <c r="W39" s="227" t="s">
        <v>310</v>
      </c>
      <c r="X39" s="227" t="s">
        <v>311</v>
      </c>
      <c r="Y39" s="227" t="s">
        <v>312</v>
      </c>
      <c r="Z39" s="227" t="s">
        <v>313</v>
      </c>
      <c r="AA39" s="227" t="s">
        <v>314</v>
      </c>
      <c r="AB39" s="227" t="s">
        <v>315</v>
      </c>
      <c r="AC39" s="227" t="s">
        <v>316</v>
      </c>
      <c r="AD39" s="227" t="s">
        <v>317</v>
      </c>
      <c r="AE39" s="227" t="s">
        <v>318</v>
      </c>
      <c r="AF39" s="227" t="s">
        <v>319</v>
      </c>
      <c r="AG39" s="227" t="s">
        <v>320</v>
      </c>
      <c r="AH39" s="227" t="s">
        <v>321</v>
      </c>
      <c r="AI39" s="224"/>
      <c r="AJ39" s="227" t="s">
        <v>322</v>
      </c>
      <c r="AK39" s="227" t="s">
        <v>323</v>
      </c>
      <c r="AL39" s="227" t="s">
        <v>324</v>
      </c>
      <c r="AM39" s="227" t="s">
        <v>325</v>
      </c>
      <c r="AN39" s="227" t="s">
        <v>326</v>
      </c>
      <c r="AO39" s="227" t="s">
        <v>327</v>
      </c>
      <c r="AP39" s="227" t="s">
        <v>328</v>
      </c>
      <c r="AQ39" s="227" t="s">
        <v>329</v>
      </c>
      <c r="AR39" s="227" t="s">
        <v>330</v>
      </c>
      <c r="AS39" s="227" t="s">
        <v>331</v>
      </c>
      <c r="AT39" s="227" t="s">
        <v>332</v>
      </c>
      <c r="AU39" s="227" t="s">
        <v>333</v>
      </c>
      <c r="AV39" s="227" t="s">
        <v>334</v>
      </c>
      <c r="AW39" s="227" t="s">
        <v>335</v>
      </c>
      <c r="AX39" s="227" t="s">
        <v>336</v>
      </c>
      <c r="AY39" s="227" t="s">
        <v>337</v>
      </c>
      <c r="AZ39" s="227" t="s">
        <v>338</v>
      </c>
      <c r="BA39" s="227" t="s">
        <v>339</v>
      </c>
      <c r="BB39" s="227" t="s">
        <v>340</v>
      </c>
      <c r="BC39" s="227" t="s">
        <v>341</v>
      </c>
      <c r="BD39" s="227" t="s">
        <v>342</v>
      </c>
      <c r="BE39" s="633" t="s">
        <v>343</v>
      </c>
      <c r="BF39" s="633"/>
      <c r="BG39" s="633" t="s">
        <v>344</v>
      </c>
      <c r="BH39" s="633"/>
      <c r="BI39" s="633" t="s">
        <v>345</v>
      </c>
      <c r="BJ39" s="633"/>
      <c r="BK39" s="633" t="s">
        <v>346</v>
      </c>
      <c r="BL39" s="633"/>
      <c r="BM39" s="633" t="s">
        <v>347</v>
      </c>
      <c r="BN39" s="633"/>
      <c r="BO39" s="633" t="s">
        <v>348</v>
      </c>
      <c r="BP39" s="633"/>
      <c r="BQ39" s="224"/>
      <c r="BR39" s="633" t="s">
        <v>349</v>
      </c>
      <c r="BS39" s="633"/>
      <c r="BT39" s="633" t="s">
        <v>350</v>
      </c>
      <c r="BU39" s="633"/>
      <c r="BV39" s="633" t="s">
        <v>351</v>
      </c>
      <c r="BW39" s="633"/>
      <c r="BX39" s="633" t="s">
        <v>352</v>
      </c>
      <c r="BY39" s="633"/>
      <c r="BZ39" s="633" t="s">
        <v>353</v>
      </c>
      <c r="CA39" s="633"/>
      <c r="CB39" s="633" t="s">
        <v>354</v>
      </c>
      <c r="CC39" s="633"/>
      <c r="CD39" s="633" t="s">
        <v>355</v>
      </c>
      <c r="CE39" s="633"/>
      <c r="CF39" s="633" t="s">
        <v>356</v>
      </c>
      <c r="CG39" s="633"/>
      <c r="CH39" s="633" t="s">
        <v>357</v>
      </c>
      <c r="CI39" s="633"/>
      <c r="CJ39" s="633" t="s">
        <v>358</v>
      </c>
      <c r="CK39" s="633"/>
      <c r="CL39" s="633" t="s">
        <v>359</v>
      </c>
      <c r="CM39" s="633"/>
      <c r="CN39" s="633" t="s">
        <v>360</v>
      </c>
      <c r="CO39" s="633"/>
      <c r="CP39" s="633" t="s">
        <v>361</v>
      </c>
      <c r="CQ39" s="633"/>
      <c r="CR39" s="633" t="s">
        <v>362</v>
      </c>
      <c r="CS39" s="633"/>
      <c r="CT39" s="633" t="str">
        <f>CT2</f>
        <v>R2/3月末</v>
      </c>
      <c r="CU39" s="633"/>
      <c r="CV39" s="633" t="str">
        <f>CV2</f>
        <v>R3/3月末</v>
      </c>
      <c r="CW39" s="633"/>
      <c r="CX39" s="633" t="str">
        <f>CX2</f>
        <v>R4/3月末</v>
      </c>
      <c r="CY39" s="633"/>
    </row>
    <row r="40" spans="1:136" ht="23.1" customHeight="1" thickBot="1">
      <c r="A40" s="228"/>
      <c r="B40" s="227" t="s">
        <v>366</v>
      </c>
      <c r="C40" s="227" t="s">
        <v>367</v>
      </c>
      <c r="D40" s="227" t="s">
        <v>368</v>
      </c>
      <c r="E40" s="227" t="s">
        <v>369</v>
      </c>
      <c r="F40" s="227" t="s">
        <v>370</v>
      </c>
      <c r="G40" s="227" t="s">
        <v>371</v>
      </c>
      <c r="H40" s="227" t="s">
        <v>372</v>
      </c>
      <c r="I40" s="227" t="s">
        <v>373</v>
      </c>
      <c r="J40" s="227" t="s">
        <v>374</v>
      </c>
      <c r="K40" s="227" t="s">
        <v>375</v>
      </c>
      <c r="L40" s="227" t="s">
        <v>376</v>
      </c>
      <c r="M40" s="227" t="s">
        <v>377</v>
      </c>
      <c r="N40" s="227" t="s">
        <v>378</v>
      </c>
      <c r="O40" s="227" t="s">
        <v>379</v>
      </c>
      <c r="P40" s="227" t="s">
        <v>380</v>
      </c>
      <c r="Q40" s="227" t="s">
        <v>381</v>
      </c>
      <c r="R40" s="227" t="s">
        <v>382</v>
      </c>
      <c r="S40" s="227" t="s">
        <v>383</v>
      </c>
      <c r="T40" s="227" t="s">
        <v>384</v>
      </c>
      <c r="U40" s="227" t="s">
        <v>385</v>
      </c>
      <c r="V40" s="227" t="s">
        <v>386</v>
      </c>
      <c r="W40" s="227" t="s">
        <v>387</v>
      </c>
      <c r="X40" s="227" t="s">
        <v>388</v>
      </c>
      <c r="Y40" s="227" t="s">
        <v>389</v>
      </c>
      <c r="Z40" s="227" t="s">
        <v>390</v>
      </c>
      <c r="AA40" s="227" t="s">
        <v>391</v>
      </c>
      <c r="AB40" s="227" t="s">
        <v>392</v>
      </c>
      <c r="AC40" s="227" t="s">
        <v>393</v>
      </c>
      <c r="AD40" s="227" t="s">
        <v>394</v>
      </c>
      <c r="AE40" s="227" t="s">
        <v>395</v>
      </c>
      <c r="AF40" s="227" t="s">
        <v>396</v>
      </c>
      <c r="AG40" s="227" t="s">
        <v>397</v>
      </c>
      <c r="AH40" s="227" t="s">
        <v>398</v>
      </c>
      <c r="AI40" s="228"/>
      <c r="AJ40" s="227" t="s">
        <v>399</v>
      </c>
      <c r="AK40" s="227" t="s">
        <v>400</v>
      </c>
      <c r="AL40" s="227" t="s">
        <v>401</v>
      </c>
      <c r="AM40" s="227" t="s">
        <v>402</v>
      </c>
      <c r="AN40" s="227" t="s">
        <v>403</v>
      </c>
      <c r="AO40" s="227" t="s">
        <v>404</v>
      </c>
      <c r="AP40" s="227" t="s">
        <v>405</v>
      </c>
      <c r="AQ40" s="227" t="s">
        <v>406</v>
      </c>
      <c r="AR40" s="227" t="s">
        <v>407</v>
      </c>
      <c r="AS40" s="227" t="s">
        <v>408</v>
      </c>
      <c r="AT40" s="227" t="s">
        <v>409</v>
      </c>
      <c r="AU40" s="227" t="s">
        <v>410</v>
      </c>
      <c r="AV40" s="227" t="s">
        <v>411</v>
      </c>
      <c r="AW40" s="227" t="s">
        <v>412</v>
      </c>
      <c r="AX40" s="227" t="s">
        <v>413</v>
      </c>
      <c r="AY40" s="227" t="s">
        <v>414</v>
      </c>
      <c r="AZ40" s="227" t="s">
        <v>415</v>
      </c>
      <c r="BA40" s="227" t="s">
        <v>416</v>
      </c>
      <c r="BB40" s="227" t="s">
        <v>417</v>
      </c>
      <c r="BC40" s="227" t="s">
        <v>418</v>
      </c>
      <c r="BD40" s="227" t="s">
        <v>419</v>
      </c>
      <c r="BE40" s="630" t="s">
        <v>420</v>
      </c>
      <c r="BF40" s="630"/>
      <c r="BG40" s="630" t="s">
        <v>421</v>
      </c>
      <c r="BH40" s="630"/>
      <c r="BI40" s="630" t="s">
        <v>422</v>
      </c>
      <c r="BJ40" s="630"/>
      <c r="BK40" s="630" t="s">
        <v>423</v>
      </c>
      <c r="BL40" s="630"/>
      <c r="BM40" s="630" t="s">
        <v>424</v>
      </c>
      <c r="BN40" s="630"/>
      <c r="BO40" s="630" t="s">
        <v>425</v>
      </c>
      <c r="BP40" s="630"/>
      <c r="BQ40" s="228"/>
      <c r="BR40" s="630" t="s">
        <v>426</v>
      </c>
      <c r="BS40" s="630"/>
      <c r="BT40" s="630" t="s">
        <v>427</v>
      </c>
      <c r="BU40" s="630"/>
      <c r="BV40" s="630" t="s">
        <v>428</v>
      </c>
      <c r="BW40" s="630"/>
      <c r="BX40" s="630" t="s">
        <v>429</v>
      </c>
      <c r="BY40" s="630"/>
      <c r="BZ40" s="630" t="s">
        <v>430</v>
      </c>
      <c r="CA40" s="630"/>
      <c r="CB40" s="630" t="s">
        <v>431</v>
      </c>
      <c r="CC40" s="630"/>
      <c r="CD40" s="630" t="s">
        <v>432</v>
      </c>
      <c r="CE40" s="630"/>
      <c r="CF40" s="630" t="s">
        <v>433</v>
      </c>
      <c r="CG40" s="630"/>
      <c r="CH40" s="630" t="s">
        <v>434</v>
      </c>
      <c r="CI40" s="630"/>
      <c r="CJ40" s="630" t="s">
        <v>435</v>
      </c>
      <c r="CK40" s="630"/>
      <c r="CL40" s="630" t="s">
        <v>436</v>
      </c>
      <c r="CM40" s="630"/>
      <c r="CN40" s="630" t="s">
        <v>437</v>
      </c>
      <c r="CO40" s="630"/>
      <c r="CP40" s="630" t="s">
        <v>438</v>
      </c>
      <c r="CQ40" s="630"/>
      <c r="CR40" s="630" t="s">
        <v>439</v>
      </c>
      <c r="CS40" s="630"/>
      <c r="CT40" s="630" t="str">
        <f>CT3</f>
        <v>（2020/3月末）</v>
      </c>
      <c r="CU40" s="630"/>
      <c r="CV40" s="630" t="str">
        <f>CV3</f>
        <v>（2021/3月末）</v>
      </c>
      <c r="CW40" s="630"/>
      <c r="CX40" s="630" t="str">
        <f>CX3</f>
        <v>（2022/3月末）</v>
      </c>
      <c r="CY40" s="630"/>
    </row>
    <row r="41" spans="1:136" ht="23.1" customHeight="1">
      <c r="A41" s="229"/>
      <c r="B41" s="230" t="s">
        <v>443</v>
      </c>
      <c r="C41" s="231" t="s">
        <v>444</v>
      </c>
      <c r="D41" s="231" t="s">
        <v>445</v>
      </c>
      <c r="E41" s="231" t="s">
        <v>446</v>
      </c>
      <c r="F41" s="231" t="s">
        <v>447</v>
      </c>
      <c r="G41" s="231" t="s">
        <v>448</v>
      </c>
      <c r="H41" s="231" t="s">
        <v>449</v>
      </c>
      <c r="I41" s="231" t="s">
        <v>450</v>
      </c>
      <c r="J41" s="231" t="s">
        <v>451</v>
      </c>
      <c r="K41" s="231" t="s">
        <v>452</v>
      </c>
      <c r="L41" s="231" t="s">
        <v>453</v>
      </c>
      <c r="M41" s="231" t="s">
        <v>454</v>
      </c>
      <c r="N41" s="231" t="s">
        <v>455</v>
      </c>
      <c r="O41" s="231" t="s">
        <v>456</v>
      </c>
      <c r="P41" s="231" t="s">
        <v>457</v>
      </c>
      <c r="Q41" s="231" t="s">
        <v>458</v>
      </c>
      <c r="R41" s="231" t="s">
        <v>459</v>
      </c>
      <c r="S41" s="231" t="s">
        <v>460</v>
      </c>
      <c r="T41" s="231" t="s">
        <v>461</v>
      </c>
      <c r="U41" s="231" t="s">
        <v>462</v>
      </c>
      <c r="V41" s="231" t="s">
        <v>463</v>
      </c>
      <c r="W41" s="231" t="s">
        <v>464</v>
      </c>
      <c r="X41" s="231" t="s">
        <v>465</v>
      </c>
      <c r="Y41" s="231" t="s">
        <v>466</v>
      </c>
      <c r="Z41" s="231" t="s">
        <v>467</v>
      </c>
      <c r="AA41" s="231" t="s">
        <v>468</v>
      </c>
      <c r="AB41" s="232" t="s">
        <v>469</v>
      </c>
      <c r="AC41" s="232" t="s">
        <v>470</v>
      </c>
      <c r="AD41" s="232" t="s">
        <v>471</v>
      </c>
      <c r="AE41" s="231" t="s">
        <v>472</v>
      </c>
      <c r="AF41" s="231" t="s">
        <v>473</v>
      </c>
      <c r="AG41" s="231" t="s">
        <v>474</v>
      </c>
      <c r="AH41" s="233" t="s">
        <v>475</v>
      </c>
      <c r="AI41" s="229"/>
      <c r="AJ41" s="234" t="s">
        <v>476</v>
      </c>
      <c r="AK41" s="353" t="s">
        <v>477</v>
      </c>
      <c r="AL41" s="231" t="s">
        <v>478</v>
      </c>
      <c r="AM41" s="231" t="s">
        <v>479</v>
      </c>
      <c r="AN41" s="231" t="s">
        <v>480</v>
      </c>
      <c r="AO41" s="231" t="s">
        <v>481</v>
      </c>
      <c r="AP41" s="231" t="s">
        <v>482</v>
      </c>
      <c r="AQ41" s="231" t="s">
        <v>483</v>
      </c>
      <c r="AR41" s="231" t="s">
        <v>484</v>
      </c>
      <c r="AS41" s="231" t="s">
        <v>485</v>
      </c>
      <c r="AT41" s="231" t="s">
        <v>486</v>
      </c>
      <c r="AU41" s="231" t="s">
        <v>487</v>
      </c>
      <c r="AV41" s="231" t="s">
        <v>488</v>
      </c>
      <c r="AW41" s="231" t="s">
        <v>489</v>
      </c>
      <c r="AX41" s="231" t="s">
        <v>490</v>
      </c>
      <c r="AY41" s="231" t="s">
        <v>491</v>
      </c>
      <c r="AZ41" s="231" t="s">
        <v>492</v>
      </c>
      <c r="BA41" s="235" t="s">
        <v>493</v>
      </c>
      <c r="BB41" s="235" t="s">
        <v>494</v>
      </c>
      <c r="BC41" s="235" t="s">
        <v>495</v>
      </c>
      <c r="BD41" s="235" t="s">
        <v>496</v>
      </c>
      <c r="BE41" s="631" t="s">
        <v>497</v>
      </c>
      <c r="BF41" s="632"/>
      <c r="BG41" s="631" t="s">
        <v>498</v>
      </c>
      <c r="BH41" s="632"/>
      <c r="BI41" s="631" t="s">
        <v>499</v>
      </c>
      <c r="BJ41" s="632"/>
      <c r="BK41" s="631" t="s">
        <v>500</v>
      </c>
      <c r="BL41" s="632"/>
      <c r="BM41" s="631" t="s">
        <v>501</v>
      </c>
      <c r="BN41" s="632"/>
      <c r="BO41" s="634" t="s">
        <v>502</v>
      </c>
      <c r="BP41" s="635"/>
      <c r="BQ41" s="229"/>
      <c r="BR41" s="636" t="s">
        <v>503</v>
      </c>
      <c r="BS41" s="632"/>
      <c r="BT41" s="637" t="s">
        <v>504</v>
      </c>
      <c r="BU41" s="638"/>
      <c r="BV41" s="631" t="s">
        <v>505</v>
      </c>
      <c r="BW41" s="632"/>
      <c r="BX41" s="634" t="s">
        <v>506</v>
      </c>
      <c r="BY41" s="634"/>
      <c r="BZ41" s="631" t="s">
        <v>507</v>
      </c>
      <c r="CA41" s="632"/>
      <c r="CB41" s="634" t="s">
        <v>508</v>
      </c>
      <c r="CC41" s="634"/>
      <c r="CD41" s="631" t="s">
        <v>509</v>
      </c>
      <c r="CE41" s="632"/>
      <c r="CF41" s="634" t="s">
        <v>510</v>
      </c>
      <c r="CG41" s="632"/>
      <c r="CH41" s="634" t="s">
        <v>511</v>
      </c>
      <c r="CI41" s="632"/>
      <c r="CJ41" s="631" t="s">
        <v>512</v>
      </c>
      <c r="CK41" s="632"/>
      <c r="CL41" s="631" t="s">
        <v>513</v>
      </c>
      <c r="CM41" s="632"/>
      <c r="CN41" s="631" t="s">
        <v>514</v>
      </c>
      <c r="CO41" s="632"/>
      <c r="CP41" s="631" t="s">
        <v>515</v>
      </c>
      <c r="CQ41" s="634"/>
      <c r="CR41" s="631" t="s">
        <v>516</v>
      </c>
      <c r="CS41" s="634"/>
      <c r="CT41" s="631" t="str">
        <f>CT4</f>
        <v>７５期</v>
      </c>
      <c r="CU41" s="634"/>
      <c r="CV41" s="631" t="str">
        <f>CV4</f>
        <v>７６期</v>
      </c>
      <c r="CW41" s="634"/>
      <c r="CX41" s="631" t="str">
        <f>CX4</f>
        <v>７７期</v>
      </c>
      <c r="CY41" s="635"/>
    </row>
    <row r="42" spans="1:136" ht="23.1" customHeight="1" thickBot="1">
      <c r="A42" s="236"/>
      <c r="B42" s="237" t="s">
        <v>520</v>
      </c>
      <c r="C42" s="238" t="s">
        <v>520</v>
      </c>
      <c r="D42" s="238" t="s">
        <v>520</v>
      </c>
      <c r="E42" s="238" t="s">
        <v>520</v>
      </c>
      <c r="F42" s="238" t="s">
        <v>520</v>
      </c>
      <c r="G42" s="238" t="s">
        <v>520</v>
      </c>
      <c r="H42" s="238" t="s">
        <v>520</v>
      </c>
      <c r="I42" s="238" t="s">
        <v>520</v>
      </c>
      <c r="J42" s="238" t="s">
        <v>520</v>
      </c>
      <c r="K42" s="238" t="s">
        <v>520</v>
      </c>
      <c r="L42" s="238" t="s">
        <v>520</v>
      </c>
      <c r="M42" s="238" t="s">
        <v>520</v>
      </c>
      <c r="N42" s="238" t="s">
        <v>520</v>
      </c>
      <c r="O42" s="238" t="s">
        <v>520</v>
      </c>
      <c r="P42" s="238" t="s">
        <v>520</v>
      </c>
      <c r="Q42" s="238" t="s">
        <v>520</v>
      </c>
      <c r="R42" s="238" t="s">
        <v>520</v>
      </c>
      <c r="S42" s="238" t="s">
        <v>520</v>
      </c>
      <c r="T42" s="238" t="s">
        <v>520</v>
      </c>
      <c r="U42" s="238" t="s">
        <v>520</v>
      </c>
      <c r="V42" s="238" t="s">
        <v>520</v>
      </c>
      <c r="W42" s="238" t="s">
        <v>520</v>
      </c>
      <c r="X42" s="238" t="s">
        <v>520</v>
      </c>
      <c r="Y42" s="238" t="s">
        <v>520</v>
      </c>
      <c r="Z42" s="238" t="s">
        <v>520</v>
      </c>
      <c r="AA42" s="238" t="s">
        <v>520</v>
      </c>
      <c r="AB42" s="238" t="s">
        <v>520</v>
      </c>
      <c r="AC42" s="238" t="s">
        <v>520</v>
      </c>
      <c r="AD42" s="238" t="s">
        <v>520</v>
      </c>
      <c r="AE42" s="238" t="s">
        <v>520</v>
      </c>
      <c r="AF42" s="238" t="s">
        <v>520</v>
      </c>
      <c r="AG42" s="238" t="s">
        <v>520</v>
      </c>
      <c r="AH42" s="239" t="s">
        <v>520</v>
      </c>
      <c r="AI42" s="236"/>
      <c r="AJ42" s="240" t="s">
        <v>520</v>
      </c>
      <c r="AK42" s="238" t="s">
        <v>520</v>
      </c>
      <c r="AL42" s="238" t="s">
        <v>520</v>
      </c>
      <c r="AM42" s="238" t="s">
        <v>520</v>
      </c>
      <c r="AN42" s="238" t="s">
        <v>520</v>
      </c>
      <c r="AO42" s="238" t="s">
        <v>520</v>
      </c>
      <c r="AP42" s="238" t="s">
        <v>520</v>
      </c>
      <c r="AQ42" s="238" t="s">
        <v>520</v>
      </c>
      <c r="AR42" s="238" t="s">
        <v>520</v>
      </c>
      <c r="AS42" s="238" t="s">
        <v>520</v>
      </c>
      <c r="AT42" s="238" t="s">
        <v>520</v>
      </c>
      <c r="AU42" s="238" t="s">
        <v>520</v>
      </c>
      <c r="AV42" s="238" t="s">
        <v>520</v>
      </c>
      <c r="AW42" s="238" t="s">
        <v>520</v>
      </c>
      <c r="AX42" s="238" t="s">
        <v>520</v>
      </c>
      <c r="AY42" s="238" t="s">
        <v>520</v>
      </c>
      <c r="AZ42" s="238" t="s">
        <v>520</v>
      </c>
      <c r="BA42" s="238" t="s">
        <v>520</v>
      </c>
      <c r="BB42" s="238" t="s">
        <v>520</v>
      </c>
      <c r="BC42" s="238" t="s">
        <v>520</v>
      </c>
      <c r="BD42" s="238" t="s">
        <v>520</v>
      </c>
      <c r="BE42" s="241" t="s">
        <v>520</v>
      </c>
      <c r="BF42" s="238" t="s">
        <v>521</v>
      </c>
      <c r="BG42" s="241" t="s">
        <v>520</v>
      </c>
      <c r="BH42" s="238" t="s">
        <v>521</v>
      </c>
      <c r="BI42" s="241" t="s">
        <v>520</v>
      </c>
      <c r="BJ42" s="238" t="s">
        <v>521</v>
      </c>
      <c r="BK42" s="241" t="s">
        <v>520</v>
      </c>
      <c r="BL42" s="238" t="s">
        <v>521</v>
      </c>
      <c r="BM42" s="241" t="s">
        <v>520</v>
      </c>
      <c r="BN42" s="238" t="s">
        <v>521</v>
      </c>
      <c r="BO42" s="242" t="s">
        <v>520</v>
      </c>
      <c r="BP42" s="239" t="s">
        <v>521</v>
      </c>
      <c r="BQ42" s="236"/>
      <c r="BR42" s="243" t="s">
        <v>520</v>
      </c>
      <c r="BS42" s="238" t="s">
        <v>521</v>
      </c>
      <c r="BT42" s="242" t="s">
        <v>520</v>
      </c>
      <c r="BU42" s="238" t="s">
        <v>521</v>
      </c>
      <c r="BV42" s="241" t="s">
        <v>520</v>
      </c>
      <c r="BW42" s="238" t="s">
        <v>521</v>
      </c>
      <c r="BX42" s="242" t="s">
        <v>520</v>
      </c>
      <c r="BY42" s="238" t="s">
        <v>521</v>
      </c>
      <c r="BZ42" s="241" t="s">
        <v>520</v>
      </c>
      <c r="CA42" s="238" t="s">
        <v>521</v>
      </c>
      <c r="CB42" s="242" t="s">
        <v>520</v>
      </c>
      <c r="CC42" s="238" t="s">
        <v>521</v>
      </c>
      <c r="CD42" s="241" t="s">
        <v>520</v>
      </c>
      <c r="CE42" s="238" t="s">
        <v>521</v>
      </c>
      <c r="CF42" s="242" t="s">
        <v>520</v>
      </c>
      <c r="CG42" s="238" t="s">
        <v>521</v>
      </c>
      <c r="CH42" s="242" t="s">
        <v>520</v>
      </c>
      <c r="CI42" s="238" t="s">
        <v>521</v>
      </c>
      <c r="CJ42" s="241" t="s">
        <v>520</v>
      </c>
      <c r="CK42" s="238" t="s">
        <v>521</v>
      </c>
      <c r="CL42" s="241" t="s">
        <v>520</v>
      </c>
      <c r="CM42" s="238" t="s">
        <v>521</v>
      </c>
      <c r="CN42" s="241" t="s">
        <v>520</v>
      </c>
      <c r="CO42" s="238" t="s">
        <v>521</v>
      </c>
      <c r="CP42" s="241" t="s">
        <v>520</v>
      </c>
      <c r="CQ42" s="241" t="s">
        <v>521</v>
      </c>
      <c r="CR42" s="241" t="s">
        <v>520</v>
      </c>
      <c r="CS42" s="241" t="s">
        <v>521</v>
      </c>
      <c r="CT42" s="241" t="s">
        <v>520</v>
      </c>
      <c r="CU42" s="241" t="s">
        <v>521</v>
      </c>
      <c r="CV42" s="241" t="s">
        <v>520</v>
      </c>
      <c r="CW42" s="241" t="s">
        <v>521</v>
      </c>
      <c r="CX42" s="241" t="s">
        <v>520</v>
      </c>
      <c r="CY42" s="239" t="s">
        <v>521</v>
      </c>
      <c r="DD42" s="244" t="s">
        <v>541</v>
      </c>
      <c r="DE42" s="245"/>
      <c r="DF42" s="245"/>
      <c r="DG42" s="245"/>
      <c r="DH42" s="245"/>
      <c r="DI42" s="245"/>
      <c r="DJ42" s="245"/>
      <c r="DK42" s="245"/>
      <c r="DL42" s="245"/>
      <c r="DM42" s="245"/>
      <c r="DN42" s="245"/>
      <c r="DO42" s="245"/>
      <c r="DP42" s="245"/>
      <c r="DQ42" s="245"/>
    </row>
    <row r="43" spans="1:136" ht="23.1" customHeight="1">
      <c r="A43" s="354" t="s">
        <v>542</v>
      </c>
      <c r="B43" s="355"/>
      <c r="C43" s="356"/>
      <c r="D43" s="356"/>
      <c r="E43" s="356"/>
      <c r="F43" s="356"/>
      <c r="G43" s="356"/>
      <c r="H43" s="356"/>
      <c r="I43" s="356"/>
      <c r="J43" s="356"/>
      <c r="K43" s="356"/>
      <c r="L43" s="356"/>
      <c r="M43" s="356"/>
      <c r="N43" s="356"/>
      <c r="O43" s="356"/>
      <c r="P43" s="356"/>
      <c r="Q43" s="356"/>
      <c r="R43" s="356"/>
      <c r="S43" s="356"/>
      <c r="T43" s="356"/>
      <c r="U43" s="356"/>
      <c r="V43" s="356"/>
      <c r="W43" s="356"/>
      <c r="X43" s="356"/>
      <c r="Y43" s="356"/>
      <c r="Z43" s="356"/>
      <c r="AA43" s="356"/>
      <c r="AB43" s="356"/>
      <c r="AC43" s="356"/>
      <c r="AD43" s="209"/>
      <c r="AE43" s="209"/>
      <c r="AF43" s="209"/>
      <c r="AG43" s="209"/>
      <c r="AH43" s="251"/>
      <c r="AI43" s="354" t="s">
        <v>542</v>
      </c>
      <c r="AJ43" s="250"/>
      <c r="AK43" s="209"/>
      <c r="AL43" s="209"/>
      <c r="AM43" s="209"/>
      <c r="AN43" s="209"/>
      <c r="AO43" s="209"/>
      <c r="AP43" s="209"/>
      <c r="AQ43" s="209"/>
      <c r="AR43" s="209"/>
      <c r="AS43" s="209"/>
      <c r="AT43" s="209"/>
      <c r="AU43" s="209"/>
      <c r="AV43" s="209"/>
      <c r="AW43" s="209"/>
      <c r="AX43" s="209"/>
      <c r="AY43" s="209"/>
      <c r="AZ43" s="209"/>
      <c r="BA43" s="209"/>
      <c r="BB43" s="209"/>
      <c r="BC43" s="209"/>
      <c r="BD43" s="209"/>
      <c r="BE43" s="209"/>
      <c r="BF43" s="209"/>
      <c r="BG43" s="209"/>
      <c r="BH43" s="209"/>
      <c r="BI43" s="209"/>
      <c r="BJ43" s="209"/>
      <c r="BK43" s="209"/>
      <c r="BL43" s="209"/>
      <c r="BM43" s="209"/>
      <c r="BN43" s="209"/>
      <c r="BO43" s="209"/>
      <c r="BP43" s="251"/>
      <c r="BQ43" s="354" t="s">
        <v>542</v>
      </c>
      <c r="BR43" s="247"/>
      <c r="BS43" s="248"/>
      <c r="BT43" s="248"/>
      <c r="BU43" s="248"/>
      <c r="BV43" s="248"/>
      <c r="BW43" s="248"/>
      <c r="BX43" s="248"/>
      <c r="BY43" s="248"/>
      <c r="BZ43" s="248"/>
      <c r="CA43" s="248"/>
      <c r="CB43" s="248"/>
      <c r="CC43" s="248"/>
      <c r="CD43" s="248"/>
      <c r="CE43" s="248"/>
      <c r="CF43" s="248"/>
      <c r="CG43" s="248"/>
      <c r="CH43" s="248"/>
      <c r="CI43" s="342"/>
      <c r="CJ43" s="342"/>
      <c r="CK43" s="342"/>
      <c r="CL43" s="342"/>
      <c r="CM43" s="342"/>
      <c r="CN43" s="342"/>
      <c r="CO43" s="342"/>
      <c r="CP43" s="357"/>
      <c r="CQ43" s="343"/>
      <c r="CR43" s="357"/>
      <c r="CS43" s="343"/>
      <c r="CT43" s="357"/>
      <c r="CU43" s="343"/>
      <c r="CV43" s="357"/>
      <c r="CW43" s="343"/>
      <c r="CX43" s="357"/>
      <c r="CY43" s="344"/>
      <c r="CZ43" s="351"/>
      <c r="DA43" s="351"/>
      <c r="DB43" s="351"/>
      <c r="DC43" s="351"/>
      <c r="DD43" s="244" t="s">
        <v>543</v>
      </c>
      <c r="DE43" s="245"/>
      <c r="DF43" s="245"/>
      <c r="DG43" s="636" t="s">
        <v>520</v>
      </c>
      <c r="DH43" s="400" t="s">
        <v>544</v>
      </c>
      <c r="DI43" s="398" t="s">
        <v>545</v>
      </c>
      <c r="DJ43" s="254" t="s">
        <v>517</v>
      </c>
      <c r="DK43" s="254" t="s">
        <v>516</v>
      </c>
      <c r="DL43" s="254" t="s">
        <v>498</v>
      </c>
      <c r="DM43" s="254" t="s">
        <v>497</v>
      </c>
      <c r="DN43" s="254" t="s">
        <v>499</v>
      </c>
      <c r="DO43" s="254" t="s">
        <v>501</v>
      </c>
      <c r="DP43" s="254" t="s">
        <v>503</v>
      </c>
      <c r="DQ43" s="255" t="s">
        <v>502</v>
      </c>
      <c r="DS43" s="244" t="s">
        <v>203</v>
      </c>
      <c r="DT43" s="245"/>
      <c r="DU43" s="245"/>
      <c r="DV43" s="644" t="s">
        <v>520</v>
      </c>
      <c r="DW43" s="253" t="s">
        <v>515</v>
      </c>
      <c r="DX43" s="254" t="s">
        <v>514</v>
      </c>
      <c r="DY43" s="254" t="s">
        <v>516</v>
      </c>
      <c r="DZ43" s="254" t="s">
        <v>501</v>
      </c>
      <c r="EA43" s="254" t="s">
        <v>498</v>
      </c>
      <c r="EB43" s="402" t="s">
        <v>519</v>
      </c>
      <c r="EC43" s="254" t="s">
        <v>512</v>
      </c>
      <c r="ED43" s="254" t="s">
        <v>497</v>
      </c>
      <c r="EE43" s="254" t="s">
        <v>502</v>
      </c>
      <c r="EF43" s="255" t="s">
        <v>499</v>
      </c>
    </row>
    <row r="44" spans="1:136" ht="23.1" customHeight="1" thickBot="1">
      <c r="A44" s="358" t="s">
        <v>546</v>
      </c>
      <c r="B44" s="359">
        <v>1.5</v>
      </c>
      <c r="C44" s="92">
        <v>1.5</v>
      </c>
      <c r="D44" s="92">
        <v>6</v>
      </c>
      <c r="E44" s="92">
        <v>6</v>
      </c>
      <c r="F44" s="92">
        <v>10</v>
      </c>
      <c r="G44" s="92">
        <v>10</v>
      </c>
      <c r="H44" s="92">
        <v>45.124949000000001</v>
      </c>
      <c r="I44" s="92">
        <v>30</v>
      </c>
      <c r="J44" s="92">
        <v>50</v>
      </c>
      <c r="K44" s="92">
        <v>100</v>
      </c>
      <c r="L44" s="92">
        <v>100</v>
      </c>
      <c r="M44" s="92">
        <v>200</v>
      </c>
      <c r="N44" s="92">
        <v>200</v>
      </c>
      <c r="O44" s="92">
        <v>300</v>
      </c>
      <c r="P44" s="92">
        <v>600</v>
      </c>
      <c r="Q44" s="92">
        <v>600</v>
      </c>
      <c r="R44" s="92">
        <v>1300</v>
      </c>
      <c r="S44" s="92">
        <v>2000</v>
      </c>
      <c r="T44" s="92">
        <v>2000</v>
      </c>
      <c r="U44" s="92">
        <v>2000</v>
      </c>
      <c r="V44" s="92">
        <v>2000</v>
      </c>
      <c r="W44" s="92">
        <v>2000</v>
      </c>
      <c r="X44" s="92">
        <v>2000</v>
      </c>
      <c r="Y44" s="92">
        <v>3000</v>
      </c>
      <c r="Z44" s="92">
        <v>3000</v>
      </c>
      <c r="AA44" s="92">
        <v>3700</v>
      </c>
      <c r="AB44" s="92">
        <v>4300</v>
      </c>
      <c r="AC44" s="92">
        <v>4730</v>
      </c>
      <c r="AD44" s="92">
        <v>5203</v>
      </c>
      <c r="AE44" s="92">
        <v>5505.0027</v>
      </c>
      <c r="AF44" s="92">
        <v>6157.2416499999999</v>
      </c>
      <c r="AG44" s="92">
        <v>6847.9276</v>
      </c>
      <c r="AH44" s="270">
        <v>6901.1808499999997</v>
      </c>
      <c r="AI44" s="358" t="s">
        <v>546</v>
      </c>
      <c r="AJ44" s="301">
        <v>6908.8004000000001</v>
      </c>
      <c r="AK44" s="92">
        <v>6930.5370000000003</v>
      </c>
      <c r="AL44" s="92">
        <v>7367.5398500000001</v>
      </c>
      <c r="AM44" s="92">
        <v>8128.2719999999999</v>
      </c>
      <c r="AN44" s="92">
        <v>8142.2209999999995</v>
      </c>
      <c r="AO44" s="92">
        <v>8183.6654500000004</v>
      </c>
      <c r="AP44" s="92">
        <v>8183.6654500000004</v>
      </c>
      <c r="AQ44" s="92">
        <v>8183.6654500000004</v>
      </c>
      <c r="AR44" s="92">
        <v>8697.1529620000001</v>
      </c>
      <c r="AS44" s="92">
        <v>8722.6508020000001</v>
      </c>
      <c r="AT44" s="92">
        <v>9409.6423119999999</v>
      </c>
      <c r="AU44" s="92">
        <v>14188.600125999999</v>
      </c>
      <c r="AV44" s="92">
        <v>17061.555885999998</v>
      </c>
      <c r="AW44" s="92">
        <v>17242.55125</v>
      </c>
      <c r="AX44" s="92">
        <v>17242.55125</v>
      </c>
      <c r="AY44" s="92">
        <v>18220.62327</v>
      </c>
      <c r="AZ44" s="92">
        <v>18780.06207</v>
      </c>
      <c r="BA44" s="92">
        <v>20301.194186000001</v>
      </c>
      <c r="BB44" s="92">
        <v>23454.968253999999</v>
      </c>
      <c r="BC44" s="92">
        <v>23454.968253999999</v>
      </c>
      <c r="BD44" s="92">
        <v>23454.968253999999</v>
      </c>
      <c r="BE44" s="92">
        <v>23454.968253999999</v>
      </c>
      <c r="BF44" s="91">
        <v>23454.968253999999</v>
      </c>
      <c r="BG44" s="92">
        <v>23454.968253999999</v>
      </c>
      <c r="BH44" s="92">
        <v>23454.968253999999</v>
      </c>
      <c r="BI44" s="92">
        <v>23454.968253999999</v>
      </c>
      <c r="BJ44" s="91">
        <v>23454.968253999999</v>
      </c>
      <c r="BK44" s="92">
        <v>23454.968253999999</v>
      </c>
      <c r="BL44" s="92">
        <v>23454.968253999999</v>
      </c>
      <c r="BM44" s="92">
        <v>23454.968253999999</v>
      </c>
      <c r="BN44" s="91">
        <v>23454.968253999999</v>
      </c>
      <c r="BO44" s="92">
        <v>23454.968253999999</v>
      </c>
      <c r="BP44" s="270">
        <v>23454.968253999999</v>
      </c>
      <c r="BQ44" s="358" t="s">
        <v>546</v>
      </c>
      <c r="BR44" s="301">
        <v>23454.968253999999</v>
      </c>
      <c r="BS44" s="91">
        <v>23454.968253999999</v>
      </c>
      <c r="BT44" s="92">
        <v>23454.968253999999</v>
      </c>
      <c r="BU44" s="92">
        <v>23454</v>
      </c>
      <c r="BV44" s="92">
        <v>23454.968253999999</v>
      </c>
      <c r="BW44" s="91">
        <v>23454</v>
      </c>
      <c r="BX44" s="92">
        <v>23454.968253999999</v>
      </c>
      <c r="BY44" s="92">
        <v>23454</v>
      </c>
      <c r="BZ44" s="92">
        <v>23454.968253999999</v>
      </c>
      <c r="CA44" s="91">
        <v>23454</v>
      </c>
      <c r="CB44" s="92">
        <v>23454</v>
      </c>
      <c r="CC44" s="92">
        <v>23454</v>
      </c>
      <c r="CD44" s="92">
        <v>23454</v>
      </c>
      <c r="CE44" s="91">
        <v>23454</v>
      </c>
      <c r="CF44" s="92">
        <v>23454</v>
      </c>
      <c r="CG44" s="92">
        <v>23454</v>
      </c>
      <c r="CH44" s="92">
        <v>23454</v>
      </c>
      <c r="CI44" s="91">
        <v>23454</v>
      </c>
      <c r="CJ44" s="92">
        <v>23454</v>
      </c>
      <c r="CK44" s="92">
        <v>23454</v>
      </c>
      <c r="CL44" s="92">
        <v>23454</v>
      </c>
      <c r="CM44" s="92">
        <v>23454</v>
      </c>
      <c r="CN44" s="92">
        <v>28463.349309000001</v>
      </c>
      <c r="CO44" s="92">
        <v>28463.349309000001</v>
      </c>
      <c r="CP44" s="92">
        <v>28463.349309000001</v>
      </c>
      <c r="CQ44" s="269">
        <v>28463.349309000001</v>
      </c>
      <c r="CR44" s="92">
        <v>28463.349309000001</v>
      </c>
      <c r="CS44" s="269">
        <v>28463</v>
      </c>
      <c r="CT44" s="92">
        <v>28463.349309000001</v>
      </c>
      <c r="CU44" s="269">
        <v>28463</v>
      </c>
      <c r="CV44" s="92">
        <v>28463.349309000001</v>
      </c>
      <c r="CW44" s="269">
        <v>28463</v>
      </c>
      <c r="CX44" s="92">
        <v>28463.349309000001</v>
      </c>
      <c r="CY44" s="270">
        <v>20000</v>
      </c>
      <c r="CZ44" s="351"/>
      <c r="DA44" s="351"/>
      <c r="DB44" s="351"/>
      <c r="DC44" s="351"/>
      <c r="DD44" s="273"/>
      <c r="DE44" s="245"/>
      <c r="DF44" s="245"/>
      <c r="DG44" s="641"/>
      <c r="DH44" s="401">
        <v>162137</v>
      </c>
      <c r="DI44" s="399">
        <v>141340</v>
      </c>
      <c r="DJ44" s="265">
        <v>108996</v>
      </c>
      <c r="DK44" s="265">
        <v>95218</v>
      </c>
      <c r="DL44" s="265">
        <v>94001</v>
      </c>
      <c r="DM44" s="265">
        <v>93665</v>
      </c>
      <c r="DN44" s="265">
        <v>91760</v>
      </c>
      <c r="DO44" s="265">
        <v>83074</v>
      </c>
      <c r="DP44" s="265">
        <v>82599</v>
      </c>
      <c r="DQ44" s="266">
        <v>82208</v>
      </c>
      <c r="DS44" s="273"/>
      <c r="DT44" s="245"/>
      <c r="DU44" s="245"/>
      <c r="DV44" s="645"/>
      <c r="DW44" s="264">
        <v>57000</v>
      </c>
      <c r="DX44" s="265">
        <v>60000</v>
      </c>
      <c r="DY44" s="265">
        <v>69943</v>
      </c>
      <c r="DZ44" s="265">
        <v>71785</v>
      </c>
      <c r="EA44" s="265">
        <v>72792</v>
      </c>
      <c r="EB44" s="403">
        <v>73207</v>
      </c>
      <c r="EC44" s="265">
        <v>73623</v>
      </c>
      <c r="ED44" s="265">
        <v>74278</v>
      </c>
      <c r="EE44" s="265">
        <v>78322</v>
      </c>
      <c r="EF44" s="266">
        <v>81960</v>
      </c>
    </row>
    <row r="45" spans="1:136" ht="23.1" customHeight="1">
      <c r="A45" s="358" t="s">
        <v>547</v>
      </c>
      <c r="B45" s="359"/>
      <c r="C45" s="92"/>
      <c r="D45" s="92"/>
      <c r="E45" s="92"/>
      <c r="F45" s="92" t="s">
        <v>206</v>
      </c>
      <c r="G45" s="92"/>
      <c r="H45" s="92" t="s">
        <v>206</v>
      </c>
      <c r="I45" s="92" t="s">
        <v>206</v>
      </c>
      <c r="J45" s="92" t="s">
        <v>206</v>
      </c>
      <c r="K45" s="92" t="s">
        <v>206</v>
      </c>
      <c r="L45" s="92" t="s">
        <v>206</v>
      </c>
      <c r="M45" s="92" t="s">
        <v>206</v>
      </c>
      <c r="N45" s="92" t="s">
        <v>206</v>
      </c>
      <c r="O45" s="92" t="s">
        <v>206</v>
      </c>
      <c r="P45" s="92" t="s">
        <v>206</v>
      </c>
      <c r="Q45" s="92" t="s">
        <v>206</v>
      </c>
      <c r="R45" s="92">
        <v>501.87</v>
      </c>
      <c r="S45" s="92">
        <v>672.42750000000001</v>
      </c>
      <c r="T45" s="92">
        <v>674.71430099999998</v>
      </c>
      <c r="U45" s="92">
        <v>674.71430099999998</v>
      </c>
      <c r="V45" s="92">
        <v>674.71430099999998</v>
      </c>
      <c r="W45" s="92">
        <v>674.71430099999998</v>
      </c>
      <c r="X45" s="92">
        <v>674.71430099999998</v>
      </c>
      <c r="Y45" s="92">
        <v>1175.6511009999999</v>
      </c>
      <c r="Z45" s="92">
        <v>1175.6511009999999</v>
      </c>
      <c r="AA45" s="92">
        <v>5275.6511010000004</v>
      </c>
      <c r="AB45" s="92">
        <v>12295.651100999999</v>
      </c>
      <c r="AC45" s="92">
        <v>11865.651100999999</v>
      </c>
      <c r="AD45" s="92">
        <v>11392.651100999999</v>
      </c>
      <c r="AE45" s="92">
        <v>13627.471081</v>
      </c>
      <c r="AF45" s="92">
        <v>13752.108311</v>
      </c>
      <c r="AG45" s="92">
        <v>13581.806630999999</v>
      </c>
      <c r="AH45" s="270">
        <v>13898.236771</v>
      </c>
      <c r="AI45" s="358" t="s">
        <v>547</v>
      </c>
      <c r="AJ45" s="301">
        <v>13943.511920999999</v>
      </c>
      <c r="AK45" s="92">
        <v>14072.670571000001</v>
      </c>
      <c r="AL45" s="92">
        <v>17968.860471</v>
      </c>
      <c r="AM45" s="92">
        <v>17358.52</v>
      </c>
      <c r="AN45" s="92">
        <v>17432.062000000002</v>
      </c>
      <c r="AO45" s="92">
        <v>17650.551691000001</v>
      </c>
      <c r="AP45" s="92">
        <v>17650.551691000001</v>
      </c>
      <c r="AQ45" s="92">
        <v>17650.551691000001</v>
      </c>
      <c r="AR45" s="92">
        <v>18164.039203</v>
      </c>
      <c r="AS45" s="92">
        <v>18189.537043</v>
      </c>
      <c r="AT45" s="92">
        <v>18876.528553</v>
      </c>
      <c r="AU45" s="92">
        <v>23655.486367000001</v>
      </c>
      <c r="AV45" s="92">
        <v>26528.442126999998</v>
      </c>
      <c r="AW45" s="92">
        <v>26709.437491000001</v>
      </c>
      <c r="AX45" s="92">
        <v>26709.437491000001</v>
      </c>
      <c r="AY45" s="92">
        <v>27687.515470999999</v>
      </c>
      <c r="AZ45" s="92">
        <v>28246.956671</v>
      </c>
      <c r="BA45" s="92">
        <v>29768.094555</v>
      </c>
      <c r="BB45" s="92">
        <v>32921.880487000002</v>
      </c>
      <c r="BC45" s="92">
        <v>32921.880487000002</v>
      </c>
      <c r="BD45" s="92">
        <v>32921.880487000002</v>
      </c>
      <c r="BE45" s="92">
        <v>31579.455486999999</v>
      </c>
      <c r="BF45" s="91">
        <v>31579.455486999999</v>
      </c>
      <c r="BG45" s="92">
        <v>31579.455486999999</v>
      </c>
      <c r="BH45" s="92">
        <v>31579.455486999999</v>
      </c>
      <c r="BI45" s="92">
        <v>31579.455486999999</v>
      </c>
      <c r="BJ45" s="91">
        <v>31579.455486999999</v>
      </c>
      <c r="BK45" s="92">
        <v>31579.455486999999</v>
      </c>
      <c r="BL45" s="92">
        <v>31579.455486999999</v>
      </c>
      <c r="BM45" s="92">
        <v>31579.455486999999</v>
      </c>
      <c r="BN45" s="91">
        <v>31579.455486999999</v>
      </c>
      <c r="BO45" s="92">
        <v>31579.455486999999</v>
      </c>
      <c r="BP45" s="270">
        <v>31579.455486999999</v>
      </c>
      <c r="BQ45" s="358" t="s">
        <v>547</v>
      </c>
      <c r="BR45" s="301">
        <v>31579.455486999999</v>
      </c>
      <c r="BS45" s="91">
        <v>31665.708632000002</v>
      </c>
      <c r="BT45" s="92">
        <v>31579.455486999999</v>
      </c>
      <c r="BU45" s="92">
        <v>31709</v>
      </c>
      <c r="BV45" s="92">
        <v>31579.455486999999</v>
      </c>
      <c r="BW45" s="91">
        <v>31709</v>
      </c>
      <c r="BX45" s="92">
        <v>31579.455486999999</v>
      </c>
      <c r="BY45" s="92">
        <v>31709</v>
      </c>
      <c r="BZ45" s="92">
        <v>31579.455486999999</v>
      </c>
      <c r="CA45" s="91">
        <v>31709</v>
      </c>
      <c r="CB45" s="92">
        <v>31579</v>
      </c>
      <c r="CC45" s="92">
        <v>31709</v>
      </c>
      <c r="CD45" s="92">
        <v>31579</v>
      </c>
      <c r="CE45" s="91">
        <v>31714</v>
      </c>
      <c r="CF45" s="92">
        <v>31579</v>
      </c>
      <c r="CG45" s="92">
        <v>31714</v>
      </c>
      <c r="CH45" s="92">
        <v>31579</v>
      </c>
      <c r="CI45" s="91">
        <v>31714</v>
      </c>
      <c r="CJ45" s="92">
        <v>31579</v>
      </c>
      <c r="CK45" s="92">
        <v>31714</v>
      </c>
      <c r="CL45" s="92">
        <v>31579</v>
      </c>
      <c r="CM45" s="92">
        <v>31718</v>
      </c>
      <c r="CN45" s="92">
        <v>36587.836541999997</v>
      </c>
      <c r="CO45" s="92">
        <v>36727.289881999997</v>
      </c>
      <c r="CP45" s="92">
        <v>36587.836541999997</v>
      </c>
      <c r="CQ45" s="269">
        <v>36723.770500999999</v>
      </c>
      <c r="CR45" s="92">
        <v>36661</v>
      </c>
      <c r="CS45" s="269">
        <v>36798</v>
      </c>
      <c r="CT45" s="92">
        <v>36587</v>
      </c>
      <c r="CU45" s="269">
        <v>36680</v>
      </c>
      <c r="CV45" s="92">
        <v>36587</v>
      </c>
      <c r="CW45" s="269">
        <v>37549</v>
      </c>
      <c r="CX45" s="92">
        <v>36587</v>
      </c>
      <c r="CY45" s="270">
        <v>134117</v>
      </c>
      <c r="CZ45" s="351"/>
      <c r="DA45" s="351"/>
      <c r="DB45" s="351"/>
      <c r="DC45" s="351"/>
      <c r="DD45" s="244"/>
      <c r="DE45" s="245"/>
      <c r="DF45" s="245"/>
      <c r="DG45" s="647" t="s">
        <v>521</v>
      </c>
      <c r="DH45" s="410" t="s">
        <v>519</v>
      </c>
      <c r="DI45" s="254" t="s">
        <v>518</v>
      </c>
      <c r="DJ45" s="297" t="s">
        <v>517</v>
      </c>
      <c r="DK45" s="297" t="s">
        <v>516</v>
      </c>
      <c r="DL45" s="297" t="s">
        <v>515</v>
      </c>
      <c r="DM45" s="297" t="s">
        <v>497</v>
      </c>
      <c r="DN45" s="297" t="s">
        <v>498</v>
      </c>
      <c r="DO45" s="297" t="s">
        <v>499</v>
      </c>
      <c r="DP45" s="297" t="s">
        <v>514</v>
      </c>
      <c r="DQ45" s="255" t="s">
        <v>503</v>
      </c>
      <c r="DR45" s="244"/>
      <c r="DS45" s="244"/>
      <c r="DT45" s="245"/>
      <c r="DU45" s="245"/>
      <c r="DV45" s="644" t="s">
        <v>521</v>
      </c>
      <c r="DW45" s="253" t="s">
        <v>512</v>
      </c>
      <c r="DX45" s="254" t="s">
        <v>515</v>
      </c>
      <c r="DY45" s="254" t="s">
        <v>514</v>
      </c>
      <c r="DZ45" s="254" t="s">
        <v>511</v>
      </c>
      <c r="EA45" s="254" t="s">
        <v>510</v>
      </c>
      <c r="EB45" s="254" t="s">
        <v>498</v>
      </c>
      <c r="EC45" s="254" t="s">
        <v>501</v>
      </c>
      <c r="ED45" s="254" t="s">
        <v>516</v>
      </c>
      <c r="EE45" s="254" t="s">
        <v>497</v>
      </c>
      <c r="EF45" s="255" t="s">
        <v>502</v>
      </c>
    </row>
    <row r="46" spans="1:136" ht="23.1" customHeight="1" thickBot="1">
      <c r="A46" s="358" t="s">
        <v>548</v>
      </c>
      <c r="B46" s="359">
        <f t="shared" ref="B46:T46" si="71">B47+B48+B49</f>
        <v>0</v>
      </c>
      <c r="C46" s="92">
        <f t="shared" si="71"/>
        <v>0</v>
      </c>
      <c r="D46" s="92">
        <f t="shared" si="71"/>
        <v>2.1144379500000001</v>
      </c>
      <c r="E46" s="92">
        <f t="shared" si="71"/>
        <v>7.9664409999999997</v>
      </c>
      <c r="F46" s="92">
        <f t="shared" si="71"/>
        <v>23.417430000000003</v>
      </c>
      <c r="G46" s="92">
        <f t="shared" si="71"/>
        <v>30.466356439999998</v>
      </c>
      <c r="H46" s="92">
        <f t="shared" si="71"/>
        <v>34.081704000000002</v>
      </c>
      <c r="I46" s="92">
        <f t="shared" si="71"/>
        <v>70.995292000000006</v>
      </c>
      <c r="J46" s="92">
        <f t="shared" si="71"/>
        <v>161.01852099999999</v>
      </c>
      <c r="K46" s="92">
        <f t="shared" si="71"/>
        <v>260.76094499999999</v>
      </c>
      <c r="L46" s="92">
        <f t="shared" si="71"/>
        <v>421.96559199999996</v>
      </c>
      <c r="M46" s="92">
        <f t="shared" si="71"/>
        <v>527.30419400000005</v>
      </c>
      <c r="N46" s="92">
        <f t="shared" si="71"/>
        <v>795.87833000000001</v>
      </c>
      <c r="O46" s="92">
        <f t="shared" si="71"/>
        <v>1263.0991370000002</v>
      </c>
      <c r="P46" s="92">
        <f t="shared" si="71"/>
        <v>907.35895899999991</v>
      </c>
      <c r="Q46" s="92">
        <f t="shared" si="71"/>
        <v>2650.783492</v>
      </c>
      <c r="R46" s="92">
        <f t="shared" si="71"/>
        <v>3188.4573179999998</v>
      </c>
      <c r="S46" s="92">
        <f t="shared" si="71"/>
        <v>4148.0699400000003</v>
      </c>
      <c r="T46" s="92">
        <f t="shared" si="71"/>
        <v>4243.2276330000004</v>
      </c>
      <c r="U46" s="92">
        <f>U47+U48+U49</f>
        <v>4976.6944100000001</v>
      </c>
      <c r="V46" s="92">
        <f>V47+V48+V49</f>
        <v>5769.013653</v>
      </c>
      <c r="W46" s="92">
        <f>W47+W48+W49</f>
        <v>6597.7488620000004</v>
      </c>
      <c r="X46" s="92">
        <f t="shared" ref="X46:AA46" si="72">X47+X48+X49</f>
        <v>7532.3326900000002</v>
      </c>
      <c r="Y46" s="92">
        <f t="shared" si="72"/>
        <v>9080.9648689999995</v>
      </c>
      <c r="Z46" s="92">
        <f t="shared" si="72"/>
        <v>11376.69284</v>
      </c>
      <c r="AA46" s="92">
        <f t="shared" si="72"/>
        <v>14105.153482</v>
      </c>
      <c r="AB46" s="92">
        <f>AB47+AB48+AB49</f>
        <v>17139.872306000001</v>
      </c>
      <c r="AC46" s="92">
        <f t="shared" ref="AC46:AQ46" si="73">AC47+AC48+AC49</f>
        <v>20088.297184999999</v>
      </c>
      <c r="AD46" s="92">
        <f t="shared" si="73"/>
        <v>22261.806734999998</v>
      </c>
      <c r="AE46" s="92">
        <f t="shared" si="73"/>
        <v>25322.000935</v>
      </c>
      <c r="AF46" s="92">
        <f t="shared" si="73"/>
        <v>29123.840146999999</v>
      </c>
      <c r="AG46" s="92">
        <f t="shared" si="73"/>
        <v>32600.059720999998</v>
      </c>
      <c r="AH46" s="270">
        <f t="shared" si="73"/>
        <v>36611.445316999998</v>
      </c>
      <c r="AI46" s="358" t="s">
        <v>548</v>
      </c>
      <c r="AJ46" s="301">
        <f t="shared" si="73"/>
        <v>40966.512285999997</v>
      </c>
      <c r="AK46" s="92">
        <f t="shared" si="73"/>
        <v>45911.641839999997</v>
      </c>
      <c r="AL46" s="92">
        <f t="shared" si="73"/>
        <v>51638.081216000006</v>
      </c>
      <c r="AM46" s="92">
        <f t="shared" si="73"/>
        <v>57936.423999999999</v>
      </c>
      <c r="AN46" s="92">
        <f t="shared" si="73"/>
        <v>64289.807999999997</v>
      </c>
      <c r="AO46" s="92">
        <f t="shared" si="73"/>
        <v>71099.355749000009</v>
      </c>
      <c r="AP46" s="92">
        <f t="shared" si="73"/>
        <v>77746.724385999973</v>
      </c>
      <c r="AQ46" s="92">
        <f t="shared" si="73"/>
        <v>81495.893882000018</v>
      </c>
      <c r="AR46" s="92">
        <f>AR47+AR48+AR49</f>
        <v>84736.82747199999</v>
      </c>
      <c r="AS46" s="92">
        <f t="shared" ref="AS46:AV46" si="74">AS47+AS48+AS49</f>
        <v>84458.523272999999</v>
      </c>
      <c r="AT46" s="92">
        <f t="shared" si="74"/>
        <v>89293.441932999995</v>
      </c>
      <c r="AU46" s="92">
        <f t="shared" si="74"/>
        <v>94414.089770999999</v>
      </c>
      <c r="AV46" s="92">
        <f t="shared" si="74"/>
        <v>98709.714695999995</v>
      </c>
      <c r="AW46" s="92">
        <f>AW49+AW47+AW48</f>
        <v>102417.39937300001</v>
      </c>
      <c r="AX46" s="92">
        <f t="shared" ref="AX46:BD46" si="75">AX47+AX48+AX49</f>
        <v>104519.72232999999</v>
      </c>
      <c r="AY46" s="92">
        <f t="shared" si="75"/>
        <v>106828.671422</v>
      </c>
      <c r="AZ46" s="92">
        <f t="shared" si="75"/>
        <v>108909.761816</v>
      </c>
      <c r="BA46" s="92">
        <f t="shared" si="75"/>
        <v>110201.44716879999</v>
      </c>
      <c r="BB46" s="92">
        <f t="shared" si="75"/>
        <v>110532.91983199999</v>
      </c>
      <c r="BC46" s="92">
        <f t="shared" si="75"/>
        <v>110715.643042</v>
      </c>
      <c r="BD46" s="92">
        <f t="shared" si="75"/>
        <v>142845.669177</v>
      </c>
      <c r="BE46" s="92">
        <f>BE47+BE48+BE49</f>
        <v>93664.908312999993</v>
      </c>
      <c r="BF46" s="91">
        <v>113725.34009</v>
      </c>
      <c r="BG46" s="92">
        <f>BG47+BG48+BG49</f>
        <v>94000.936319</v>
      </c>
      <c r="BH46" s="92">
        <v>113181.181964</v>
      </c>
      <c r="BI46" s="92">
        <f>BI47+BI48+BI49</f>
        <v>91759.882935999995</v>
      </c>
      <c r="BJ46" s="91">
        <v>111606.665047</v>
      </c>
      <c r="BK46" s="92">
        <f>BK47+BK48+BK49</f>
        <v>81865.845441999991</v>
      </c>
      <c r="BL46" s="92">
        <v>102263.78129699999</v>
      </c>
      <c r="BM46" s="92">
        <f>BM47+BM48+BM49</f>
        <v>83073.598106999998</v>
      </c>
      <c r="BN46" s="91">
        <v>104196.12964899999</v>
      </c>
      <c r="BO46" s="92">
        <f>BO47+BO48+BO49</f>
        <v>82208.351270999992</v>
      </c>
      <c r="BP46" s="270">
        <v>103529.96353399999</v>
      </c>
      <c r="BQ46" s="358" t="s">
        <v>548</v>
      </c>
      <c r="BR46" s="301">
        <f>BR47+BR48+BR49</f>
        <v>82598.597612999991</v>
      </c>
      <c r="BS46" s="91">
        <v>106470.107762</v>
      </c>
      <c r="BT46" s="92">
        <f>BT47+BT48+BT49+1</f>
        <v>80278.339146999991</v>
      </c>
      <c r="BU46" s="92">
        <v>104235</v>
      </c>
      <c r="BV46" s="92">
        <f>BV47+BV48+BV49</f>
        <v>33401.026815999998</v>
      </c>
      <c r="BW46" s="91">
        <v>57190</v>
      </c>
      <c r="BX46" s="92">
        <f>BX47+BX48+BX49</f>
        <v>33811.736516999998</v>
      </c>
      <c r="BY46" s="92">
        <v>58571</v>
      </c>
      <c r="BZ46" s="92">
        <f>BZ47+BZ48+BZ49</f>
        <v>35013.899842999999</v>
      </c>
      <c r="CA46" s="91">
        <v>59709</v>
      </c>
      <c r="CB46" s="92">
        <f>CB47+CB48+CB49</f>
        <v>31357</v>
      </c>
      <c r="CC46" s="92">
        <v>55923</v>
      </c>
      <c r="CD46" s="92">
        <f>CD47+CD48+CD49</f>
        <v>31725</v>
      </c>
      <c r="CE46" s="91">
        <v>57881</v>
      </c>
      <c r="CF46" s="92">
        <f>CF47+CF48+CF49</f>
        <v>21818</v>
      </c>
      <c r="CG46" s="92">
        <v>51369</v>
      </c>
      <c r="CH46" s="92">
        <f>CH47+CH48+CH49</f>
        <v>26008</v>
      </c>
      <c r="CI46" s="91">
        <v>59393</v>
      </c>
      <c r="CJ46" s="92">
        <f>CJ47+CJ48+CJ49</f>
        <v>33488</v>
      </c>
      <c r="CK46" s="92">
        <v>73605</v>
      </c>
      <c r="CL46" s="92">
        <f>CL47+CL48+CL49</f>
        <v>44704</v>
      </c>
      <c r="CM46" s="92">
        <v>89248</v>
      </c>
      <c r="CN46" s="92">
        <f>CN47+CN48+CN49</f>
        <v>61693.436117999998</v>
      </c>
      <c r="CO46" s="92">
        <v>111056.71991699999</v>
      </c>
      <c r="CP46" s="92">
        <f>CP47+CP48+CP49</f>
        <v>77959.788467999999</v>
      </c>
      <c r="CQ46" s="269">
        <v>131453.63502300001</v>
      </c>
      <c r="CR46" s="92">
        <v>95218</v>
      </c>
      <c r="CS46" s="269">
        <v>152170</v>
      </c>
      <c r="CT46" s="92">
        <v>108996</v>
      </c>
      <c r="CU46" s="269">
        <v>158907</v>
      </c>
      <c r="CV46" s="92">
        <v>141340</v>
      </c>
      <c r="CW46" s="269">
        <v>178526</v>
      </c>
      <c r="CX46" s="92">
        <v>162137</v>
      </c>
      <c r="CY46" s="270">
        <v>198273</v>
      </c>
      <c r="CZ46" s="351"/>
      <c r="DA46" s="351"/>
      <c r="DB46" s="351"/>
      <c r="DC46" s="351"/>
      <c r="DD46" s="244"/>
      <c r="DE46" s="245"/>
      <c r="DF46" s="245"/>
      <c r="DG46" s="641"/>
      <c r="DH46" s="397">
        <v>198273</v>
      </c>
      <c r="DI46" s="265">
        <v>178526</v>
      </c>
      <c r="DJ46" s="265">
        <v>158907</v>
      </c>
      <c r="DK46" s="265">
        <v>152170</v>
      </c>
      <c r="DL46" s="265">
        <v>131454</v>
      </c>
      <c r="DM46" s="265">
        <v>113725</v>
      </c>
      <c r="DN46" s="265">
        <v>113181</v>
      </c>
      <c r="DO46" s="265">
        <v>111607</v>
      </c>
      <c r="DP46" s="265">
        <v>111057</v>
      </c>
      <c r="DQ46" s="266">
        <v>106470</v>
      </c>
      <c r="DR46" s="244"/>
      <c r="DS46" s="244"/>
      <c r="DT46" s="245"/>
      <c r="DU46" s="245"/>
      <c r="DV46" s="645"/>
      <c r="DW46" s="264">
        <v>79886</v>
      </c>
      <c r="DX46" s="265">
        <v>91449</v>
      </c>
      <c r="DY46" s="265">
        <v>92842</v>
      </c>
      <c r="DZ46" s="265">
        <v>93120</v>
      </c>
      <c r="EA46" s="265">
        <v>94694</v>
      </c>
      <c r="EB46" s="265">
        <v>95626</v>
      </c>
      <c r="EC46" s="265">
        <v>97239</v>
      </c>
      <c r="ED46" s="265">
        <v>99407</v>
      </c>
      <c r="EE46" s="265">
        <v>101523</v>
      </c>
      <c r="EF46" s="266">
        <v>101664</v>
      </c>
    </row>
    <row r="47" spans="1:136" ht="23.1" customHeight="1" thickBot="1">
      <c r="A47" s="358" t="s">
        <v>549</v>
      </c>
      <c r="B47" s="359"/>
      <c r="C47" s="92"/>
      <c r="D47" s="92">
        <v>0.01</v>
      </c>
      <c r="E47" s="92">
        <v>0.26</v>
      </c>
      <c r="F47" s="92">
        <v>1.26</v>
      </c>
      <c r="G47" s="92">
        <v>2.2599999999999998</v>
      </c>
      <c r="H47" s="92">
        <v>10.719868</v>
      </c>
      <c r="I47" s="92">
        <v>5.76</v>
      </c>
      <c r="J47" s="92">
        <v>10.76</v>
      </c>
      <c r="K47" s="92">
        <v>20.76</v>
      </c>
      <c r="L47" s="92">
        <v>30.76</v>
      </c>
      <c r="M47" s="92">
        <v>50</v>
      </c>
      <c r="N47" s="92">
        <v>50</v>
      </c>
      <c r="O47" s="92">
        <v>50</v>
      </c>
      <c r="P47" s="92">
        <v>100</v>
      </c>
      <c r="Q47" s="92">
        <v>200</v>
      </c>
      <c r="R47" s="92">
        <v>220</v>
      </c>
      <c r="S47" s="92">
        <v>240</v>
      </c>
      <c r="T47" s="92">
        <v>340</v>
      </c>
      <c r="U47" s="92">
        <v>380</v>
      </c>
      <c r="V47" s="92">
        <v>420</v>
      </c>
      <c r="W47" s="92">
        <v>460</v>
      </c>
      <c r="X47" s="92">
        <v>500</v>
      </c>
      <c r="Y47" s="92">
        <v>500</v>
      </c>
      <c r="Z47" s="92">
        <v>560</v>
      </c>
      <c r="AA47" s="92">
        <v>620</v>
      </c>
      <c r="AB47" s="92">
        <v>700</v>
      </c>
      <c r="AC47" s="92">
        <v>800</v>
      </c>
      <c r="AD47" s="92">
        <v>900</v>
      </c>
      <c r="AE47" s="92">
        <v>1000</v>
      </c>
      <c r="AF47" s="92">
        <v>1100</v>
      </c>
      <c r="AG47" s="92">
        <v>1220</v>
      </c>
      <c r="AH47" s="270">
        <v>1350</v>
      </c>
      <c r="AI47" s="358" t="s">
        <v>549</v>
      </c>
      <c r="AJ47" s="301">
        <v>1480</v>
      </c>
      <c r="AK47" s="92">
        <v>1610</v>
      </c>
      <c r="AL47" s="92">
        <v>1732.6342500000001</v>
      </c>
      <c r="AM47" s="92">
        <v>1841.884</v>
      </c>
      <c r="AN47" s="92">
        <v>2032.068</v>
      </c>
      <c r="AO47" s="92">
        <v>2035.555462</v>
      </c>
      <c r="AP47" s="92">
        <v>2045.9163619999999</v>
      </c>
      <c r="AQ47" s="92">
        <v>2045.9163619999999</v>
      </c>
      <c r="AR47" s="92">
        <v>2045.9163619999999</v>
      </c>
      <c r="AS47" s="92">
        <v>2174.2882399999999</v>
      </c>
      <c r="AT47" s="92">
        <v>2180.6626999999999</v>
      </c>
      <c r="AU47" s="92">
        <v>2352.410578</v>
      </c>
      <c r="AV47" s="92">
        <v>2542.410578</v>
      </c>
      <c r="AW47" s="92">
        <v>2702.410578</v>
      </c>
      <c r="AX47" s="92">
        <v>2882.410578</v>
      </c>
      <c r="AY47" s="92">
        <v>3062.410578</v>
      </c>
      <c r="AZ47" s="92">
        <v>3242.410578</v>
      </c>
      <c r="BA47" s="92">
        <v>3422.410578</v>
      </c>
      <c r="BB47" s="92">
        <v>3602.410578</v>
      </c>
      <c r="BC47" s="92">
        <v>3792.410578</v>
      </c>
      <c r="BD47" s="92">
        <v>3972.410578</v>
      </c>
      <c r="BE47" s="92">
        <v>4152.410578</v>
      </c>
      <c r="BF47" s="92"/>
      <c r="BG47" s="92">
        <v>4352.410578</v>
      </c>
      <c r="BH47" s="92"/>
      <c r="BI47" s="92">
        <v>4552.410578</v>
      </c>
      <c r="BJ47" s="92"/>
      <c r="BK47" s="92">
        <v>4552.410578</v>
      </c>
      <c r="BL47" s="92"/>
      <c r="BM47" s="92">
        <v>4552.410578</v>
      </c>
      <c r="BN47" s="92"/>
      <c r="BO47" s="92">
        <v>4552.410578</v>
      </c>
      <c r="BP47" s="270"/>
      <c r="BQ47" s="358" t="s">
        <v>549</v>
      </c>
      <c r="BR47" s="301">
        <v>4552.410578</v>
      </c>
      <c r="BS47" s="92"/>
      <c r="BT47" s="92">
        <v>4552.410578</v>
      </c>
      <c r="BU47" s="92"/>
      <c r="BV47" s="92">
        <v>4552.410578</v>
      </c>
      <c r="BW47" s="92"/>
      <c r="BX47" s="92">
        <v>4552.410578</v>
      </c>
      <c r="BY47" s="92"/>
      <c r="BZ47" s="92">
        <v>4552.410578</v>
      </c>
      <c r="CA47" s="92"/>
      <c r="CB47" s="92">
        <v>4552</v>
      </c>
      <c r="CC47" s="92"/>
      <c r="CD47" s="92">
        <v>4552</v>
      </c>
      <c r="CE47" s="92"/>
      <c r="CF47" s="92">
        <v>4552</v>
      </c>
      <c r="CG47" s="92"/>
      <c r="CH47" s="92">
        <v>4552</v>
      </c>
      <c r="CI47" s="92"/>
      <c r="CJ47" s="92">
        <v>4552</v>
      </c>
      <c r="CK47" s="92"/>
      <c r="CL47" s="92">
        <v>4552</v>
      </c>
      <c r="CM47" s="92"/>
      <c r="CN47" s="92">
        <v>4552.410578</v>
      </c>
      <c r="CO47" s="92"/>
      <c r="CP47" s="92">
        <v>4552.410578</v>
      </c>
      <c r="CQ47" s="269"/>
      <c r="CR47" s="92">
        <v>4552.410578</v>
      </c>
      <c r="CS47" s="269"/>
      <c r="CT47" s="92">
        <v>4552.410578</v>
      </c>
      <c r="CU47" s="269"/>
      <c r="CV47" s="92">
        <v>4552.410578</v>
      </c>
      <c r="CW47" s="269"/>
      <c r="CX47" s="92">
        <v>4552.410578</v>
      </c>
      <c r="CY47" s="270"/>
      <c r="CZ47" s="351"/>
      <c r="DA47" s="351"/>
      <c r="DB47" s="351"/>
      <c r="DC47" s="351"/>
      <c r="DD47" s="273"/>
      <c r="DS47" s="273"/>
    </row>
    <row r="48" spans="1:136" ht="23.1" customHeight="1">
      <c r="A48" s="358" t="s">
        <v>550</v>
      </c>
      <c r="B48" s="359"/>
      <c r="C48" s="92"/>
      <c r="D48" s="92">
        <v>0.03</v>
      </c>
      <c r="E48" s="92">
        <v>0.33</v>
      </c>
      <c r="F48" s="92">
        <v>12.559252000000001</v>
      </c>
      <c r="G48" s="92">
        <f>3.83+10.88935+0.02980135</f>
        <v>14.74915135</v>
      </c>
      <c r="H48" s="92">
        <v>21.59</v>
      </c>
      <c r="I48" s="92">
        <v>11.763023</v>
      </c>
      <c r="J48" s="92">
        <v>27.765340999999999</v>
      </c>
      <c r="K48" s="92">
        <f>2.435341+45.33+20+10</f>
        <v>77.765341000000006</v>
      </c>
      <c r="L48" s="92">
        <f>2.435341+65.33+40+30</f>
        <v>137.76534099999998</v>
      </c>
      <c r="M48" s="92">
        <f>70+60+120+2.435341</f>
        <v>252.43534099999999</v>
      </c>
      <c r="N48" s="92">
        <f>2.435341+80+60+230</f>
        <v>372.43534099999999</v>
      </c>
      <c r="O48" s="92">
        <f>2.286801+60+100+350</f>
        <v>512.28680099999997</v>
      </c>
      <c r="P48" s="92">
        <v>802.28680099999997</v>
      </c>
      <c r="Q48" s="92">
        <f>2.286801+200+100+1050</f>
        <v>1352.286801</v>
      </c>
      <c r="R48" s="92">
        <f>2.286801+200+100+1430</f>
        <v>1732.286801</v>
      </c>
      <c r="S48" s="92">
        <f>2.286801+200+100+1960</f>
        <v>2262.2868010000002</v>
      </c>
      <c r="T48" s="92">
        <v>2760</v>
      </c>
      <c r="U48" s="92">
        <v>3400</v>
      </c>
      <c r="V48" s="92">
        <v>4100</v>
      </c>
      <c r="W48" s="92">
        <v>4850</v>
      </c>
      <c r="X48" s="92">
        <v>5650</v>
      </c>
      <c r="Y48" s="92">
        <v>6550</v>
      </c>
      <c r="Z48" s="92">
        <v>7850</v>
      </c>
      <c r="AA48" s="92">
        <v>10000</v>
      </c>
      <c r="AB48" s="92">
        <v>12500</v>
      </c>
      <c r="AC48" s="92">
        <v>15300</v>
      </c>
      <c r="AD48" s="92">
        <v>18200</v>
      </c>
      <c r="AE48" s="92">
        <v>20200</v>
      </c>
      <c r="AF48" s="92">
        <v>23000</v>
      </c>
      <c r="AG48" s="92">
        <v>26600</v>
      </c>
      <c r="AH48" s="270">
        <v>29800</v>
      </c>
      <c r="AI48" s="358" t="s">
        <v>550</v>
      </c>
      <c r="AJ48" s="301">
        <v>33700</v>
      </c>
      <c r="AK48" s="92">
        <v>37850</v>
      </c>
      <c r="AL48" s="92">
        <v>42650</v>
      </c>
      <c r="AM48" s="92">
        <v>48150</v>
      </c>
      <c r="AN48" s="92">
        <v>54150</v>
      </c>
      <c r="AO48" s="92">
        <v>60450</v>
      </c>
      <c r="AP48" s="92">
        <v>67300</v>
      </c>
      <c r="AQ48" s="92">
        <v>73900</v>
      </c>
      <c r="AR48" s="92">
        <v>77675.632291999995</v>
      </c>
      <c r="AS48" s="92">
        <v>80775.153286999994</v>
      </c>
      <c r="AT48" s="92">
        <v>81574.201344999994</v>
      </c>
      <c r="AU48" s="92">
        <v>85071.381693999996</v>
      </c>
      <c r="AV48" s="92">
        <v>89603.159891000003</v>
      </c>
      <c r="AW48" s="92">
        <v>94099.381657000005</v>
      </c>
      <c r="AX48" s="92">
        <v>97595.742031000002</v>
      </c>
      <c r="AY48" s="92">
        <v>99592.235920000006</v>
      </c>
      <c r="AZ48" s="92">
        <v>101688.858418</v>
      </c>
      <c r="BA48" s="92">
        <v>103685.60480099999</v>
      </c>
      <c r="BB48" s="92">
        <v>104682.47051499999</v>
      </c>
      <c r="BC48" s="92">
        <v>104679.451178</v>
      </c>
      <c r="BD48" s="92">
        <v>104676.542567</v>
      </c>
      <c r="BE48" s="92">
        <v>68342.32561</v>
      </c>
      <c r="BF48" s="92"/>
      <c r="BG48" s="92">
        <v>87340.353063000002</v>
      </c>
      <c r="BH48" s="92"/>
      <c r="BI48" s="92">
        <v>87438.472357999999</v>
      </c>
      <c r="BJ48" s="92"/>
      <c r="BK48" s="92">
        <v>83436.742740000002</v>
      </c>
      <c r="BL48" s="92"/>
      <c r="BM48" s="92">
        <v>74034.970572000006</v>
      </c>
      <c r="BN48" s="92"/>
      <c r="BO48" s="92">
        <v>74700</v>
      </c>
      <c r="BP48" s="270"/>
      <c r="BQ48" s="358" t="s">
        <v>550</v>
      </c>
      <c r="BR48" s="301">
        <v>74700</v>
      </c>
      <c r="BS48" s="92"/>
      <c r="BT48" s="92">
        <v>75200</v>
      </c>
      <c r="BU48" s="92"/>
      <c r="BV48" s="92">
        <v>73200</v>
      </c>
      <c r="BW48" s="92"/>
      <c r="BX48" s="92">
        <v>26200</v>
      </c>
      <c r="BY48" s="92"/>
      <c r="BZ48" s="92">
        <v>26200</v>
      </c>
      <c r="CA48" s="92"/>
      <c r="CB48" s="92">
        <v>27500</v>
      </c>
      <c r="CC48" s="92"/>
      <c r="CD48" s="92">
        <v>24500</v>
      </c>
      <c r="CE48" s="92"/>
      <c r="CF48" s="92">
        <v>24500</v>
      </c>
      <c r="CG48" s="92"/>
      <c r="CH48" s="92">
        <v>15000</v>
      </c>
      <c r="CI48" s="92"/>
      <c r="CJ48" s="92">
        <v>19000</v>
      </c>
      <c r="CK48" s="92"/>
      <c r="CL48" s="92">
        <v>26000</v>
      </c>
      <c r="CM48" s="92"/>
      <c r="CN48" s="92">
        <v>36000</v>
      </c>
      <c r="CO48" s="92"/>
      <c r="CP48" s="92">
        <v>52000</v>
      </c>
      <c r="CQ48" s="269"/>
      <c r="CR48" s="92">
        <v>68000</v>
      </c>
      <c r="CS48" s="269"/>
      <c r="CT48" s="92">
        <v>84000</v>
      </c>
      <c r="CU48" s="269"/>
      <c r="CV48" s="92">
        <v>98000</v>
      </c>
      <c r="CW48" s="269"/>
      <c r="CX48" s="92">
        <v>127000</v>
      </c>
      <c r="CY48" s="270"/>
      <c r="CZ48" s="351"/>
      <c r="DA48" s="351"/>
      <c r="DB48" s="351"/>
      <c r="DC48" s="351"/>
      <c r="DD48" s="244" t="s">
        <v>551</v>
      </c>
      <c r="DE48" s="245"/>
      <c r="DF48" s="245"/>
      <c r="DG48" s="644" t="s">
        <v>520</v>
      </c>
      <c r="DH48" s="395" t="s">
        <v>544</v>
      </c>
      <c r="DI48" s="293" t="s">
        <v>545</v>
      </c>
      <c r="DJ48" s="254" t="s">
        <v>517</v>
      </c>
      <c r="DK48" s="293" t="s">
        <v>516</v>
      </c>
      <c r="DL48" s="254" t="s">
        <v>498</v>
      </c>
      <c r="DM48" s="254" t="s">
        <v>497</v>
      </c>
      <c r="DN48" s="254" t="s">
        <v>499</v>
      </c>
      <c r="DO48" s="254" t="s">
        <v>515</v>
      </c>
      <c r="DP48" s="254" t="s">
        <v>501</v>
      </c>
      <c r="DQ48" s="255" t="s">
        <v>503</v>
      </c>
      <c r="DS48" s="244" t="s">
        <v>552</v>
      </c>
      <c r="DT48" s="245"/>
      <c r="DU48" s="245"/>
      <c r="DV48" s="636" t="s">
        <v>520</v>
      </c>
      <c r="DW48" s="253" t="s">
        <v>515</v>
      </c>
      <c r="DX48" s="254" t="s">
        <v>497</v>
      </c>
      <c r="DY48" s="254" t="s">
        <v>498</v>
      </c>
      <c r="DZ48" s="254" t="s">
        <v>500</v>
      </c>
      <c r="EA48" s="254" t="s">
        <v>514</v>
      </c>
      <c r="EB48" s="254" t="s">
        <v>502</v>
      </c>
      <c r="EC48" s="254" t="s">
        <v>499</v>
      </c>
      <c r="ED48" s="254" t="s">
        <v>516</v>
      </c>
      <c r="EE48" s="422" t="s">
        <v>518</v>
      </c>
      <c r="EF48" s="255" t="s">
        <v>510</v>
      </c>
    </row>
    <row r="49" spans="1:136" ht="23.1" customHeight="1" thickBot="1">
      <c r="A49" s="358" t="s">
        <v>553</v>
      </c>
      <c r="B49" s="359"/>
      <c r="C49" s="92"/>
      <c r="D49" s="92">
        <v>2.0744379500000001</v>
      </c>
      <c r="E49" s="92">
        <v>7.3764409999999998</v>
      </c>
      <c r="F49" s="92">
        <v>9.5981780000000008</v>
      </c>
      <c r="G49" s="92">
        <v>13.45720509</v>
      </c>
      <c r="H49" s="92">
        <v>1.771836</v>
      </c>
      <c r="I49" s="92">
        <v>53.472268999999997</v>
      </c>
      <c r="J49" s="92">
        <v>122.49318</v>
      </c>
      <c r="K49" s="92">
        <f>1.04118+161.194424</f>
        <v>162.235604</v>
      </c>
      <c r="L49" s="92">
        <f>4.735604+248.704647</f>
        <v>253.44025099999999</v>
      </c>
      <c r="M49" s="92">
        <f>3.530251+221.338602</f>
        <v>224.868853</v>
      </c>
      <c r="N49" s="92">
        <f>0.128853+373.314136</f>
        <v>373.44298900000001</v>
      </c>
      <c r="O49" s="92">
        <f>697.369397+3.442939</f>
        <v>700.81233600000007</v>
      </c>
      <c r="P49" s="92">
        <v>5.0721579999999999</v>
      </c>
      <c r="Q49" s="92">
        <f>1071.307168+27.189523</f>
        <v>1098.4966910000001</v>
      </c>
      <c r="R49" s="92">
        <f>13.496691+1222.673826</f>
        <v>1236.170517</v>
      </c>
      <c r="S49" s="92">
        <f>1614.612622+31.170517</f>
        <v>1645.7831390000001</v>
      </c>
      <c r="T49" s="92">
        <v>1143.227633</v>
      </c>
      <c r="U49" s="92">
        <v>1196.6944100000001</v>
      </c>
      <c r="V49" s="92">
        <v>1249.013653</v>
      </c>
      <c r="W49" s="92">
        <v>1287.7488619999999</v>
      </c>
      <c r="X49" s="92">
        <v>1382.33269</v>
      </c>
      <c r="Y49" s="92">
        <v>2030.9648689999999</v>
      </c>
      <c r="Z49" s="92">
        <v>2966.6928400000002</v>
      </c>
      <c r="AA49" s="92">
        <v>3485.1534820000002</v>
      </c>
      <c r="AB49" s="92">
        <v>3939.8723060000002</v>
      </c>
      <c r="AC49" s="92">
        <v>3988.2971849999999</v>
      </c>
      <c r="AD49" s="92">
        <v>3161.8067350000001</v>
      </c>
      <c r="AE49" s="92">
        <v>4122.000935</v>
      </c>
      <c r="AF49" s="92">
        <v>5023.8401469999999</v>
      </c>
      <c r="AG49" s="92">
        <v>4780.0597209999996</v>
      </c>
      <c r="AH49" s="270">
        <v>5461.4453169999997</v>
      </c>
      <c r="AI49" s="358" t="s">
        <v>553</v>
      </c>
      <c r="AJ49" s="301">
        <v>5786.5122860000001</v>
      </c>
      <c r="AK49" s="92">
        <v>6451.6418400000002</v>
      </c>
      <c r="AL49" s="92">
        <v>7255.4469660000004</v>
      </c>
      <c r="AM49" s="92">
        <v>7944.54</v>
      </c>
      <c r="AN49" s="92">
        <v>8107.74</v>
      </c>
      <c r="AO49" s="92">
        <f>250.653+321614.362326-313251.215039</f>
        <v>8613.80028700002</v>
      </c>
      <c r="AP49" s="92">
        <f>182.380172+337231.1076-329012.679748</f>
        <v>8400.808023999969</v>
      </c>
      <c r="AQ49" s="92">
        <f>239.748243+375733.523846-370423.294569</f>
        <v>5549.9775200000149</v>
      </c>
      <c r="AR49" s="92">
        <f>213.285447+379951.699648-375149.706277</f>
        <v>5015.2788179999916</v>
      </c>
      <c r="AS49" s="92">
        <f>221.446536+128637.997143-127350.361933</f>
        <v>1509.0817460000108</v>
      </c>
      <c r="AT49" s="92">
        <f>210.582105+404452.209378-399124.213595</f>
        <v>5538.5778879999998</v>
      </c>
      <c r="AU49" s="92">
        <v>6990.2974990000002</v>
      </c>
      <c r="AV49" s="92">
        <v>6564.1442269999998</v>
      </c>
      <c r="AW49" s="92">
        <v>5615.6071380000003</v>
      </c>
      <c r="AX49" s="92">
        <v>4041.5697209999998</v>
      </c>
      <c r="AY49" s="92">
        <v>4174.0249240000003</v>
      </c>
      <c r="AZ49" s="92">
        <v>3978.4928199999999</v>
      </c>
      <c r="BA49" s="92">
        <v>3093.4317897999999</v>
      </c>
      <c r="BB49" s="92">
        <v>2248.0387390000001</v>
      </c>
      <c r="BC49" s="92">
        <v>2243.7812859999999</v>
      </c>
      <c r="BD49" s="92">
        <v>34196.716031999997</v>
      </c>
      <c r="BE49" s="92">
        <v>21170.172125000001</v>
      </c>
      <c r="BF49" s="92"/>
      <c r="BG49" s="92">
        <v>2308.1726779999999</v>
      </c>
      <c r="BH49" s="92"/>
      <c r="BI49" s="92">
        <v>-231</v>
      </c>
      <c r="BJ49" s="92"/>
      <c r="BK49" s="92">
        <v>-6123.3078759999999</v>
      </c>
      <c r="BL49" s="92"/>
      <c r="BM49" s="92">
        <v>4486.2169569999996</v>
      </c>
      <c r="BN49" s="92"/>
      <c r="BO49" s="92">
        <v>2955.940693</v>
      </c>
      <c r="BP49" s="270"/>
      <c r="BQ49" s="358" t="s">
        <v>553</v>
      </c>
      <c r="BR49" s="301">
        <v>3346.1870349999999</v>
      </c>
      <c r="BS49" s="92"/>
      <c r="BT49" s="92">
        <v>524.92856900000004</v>
      </c>
      <c r="BU49" s="92"/>
      <c r="BV49" s="92">
        <v>-44351.383761999998</v>
      </c>
      <c r="BW49" s="92"/>
      <c r="BX49" s="92">
        <v>3059.3259389999998</v>
      </c>
      <c r="BY49" s="92"/>
      <c r="BZ49" s="92">
        <v>4261.4892650000002</v>
      </c>
      <c r="CA49" s="92"/>
      <c r="CB49" s="92">
        <v>-695</v>
      </c>
      <c r="CC49" s="92"/>
      <c r="CD49" s="92">
        <v>2673</v>
      </c>
      <c r="CE49" s="92"/>
      <c r="CF49" s="92">
        <v>-7234</v>
      </c>
      <c r="CG49" s="92"/>
      <c r="CH49" s="92">
        <v>6456</v>
      </c>
      <c r="CI49" s="92"/>
      <c r="CJ49" s="92">
        <v>9936</v>
      </c>
      <c r="CK49" s="92"/>
      <c r="CL49" s="92">
        <v>14152</v>
      </c>
      <c r="CM49" s="92"/>
      <c r="CN49" s="92">
        <v>21141.025539999999</v>
      </c>
      <c r="CO49" s="92"/>
      <c r="CP49" s="92">
        <v>21407.37789</v>
      </c>
      <c r="CQ49" s="269"/>
      <c r="CR49" s="92">
        <v>22666</v>
      </c>
      <c r="CS49" s="269"/>
      <c r="CT49" s="92">
        <v>20444</v>
      </c>
      <c r="CU49" s="269"/>
      <c r="CV49" s="92">
        <v>38787</v>
      </c>
      <c r="CW49" s="269"/>
      <c r="CX49" s="92">
        <v>30584.847534</v>
      </c>
      <c r="CY49" s="270"/>
      <c r="CZ49" s="351"/>
      <c r="DA49" s="351"/>
      <c r="DB49" s="351"/>
      <c r="DC49" s="351"/>
      <c r="DD49" s="273"/>
      <c r="DE49" s="245"/>
      <c r="DF49" s="245"/>
      <c r="DG49" s="645"/>
      <c r="DH49" s="396">
        <v>227188</v>
      </c>
      <c r="DI49" s="294">
        <v>205591</v>
      </c>
      <c r="DJ49" s="265">
        <v>172712</v>
      </c>
      <c r="DK49" s="294">
        <v>158495</v>
      </c>
      <c r="DL49" s="265">
        <v>149035</v>
      </c>
      <c r="DM49" s="265">
        <v>148701</v>
      </c>
      <c r="DN49" s="265">
        <v>146793</v>
      </c>
      <c r="DO49" s="265">
        <v>142946</v>
      </c>
      <c r="DP49" s="265">
        <v>138091</v>
      </c>
      <c r="DQ49" s="266">
        <v>137598</v>
      </c>
      <c r="DS49" s="273"/>
      <c r="DT49" s="245"/>
      <c r="DU49" s="245"/>
      <c r="DV49" s="641"/>
      <c r="DW49" s="264">
        <v>71283</v>
      </c>
      <c r="DX49" s="265">
        <v>60511</v>
      </c>
      <c r="DY49" s="265">
        <v>59467</v>
      </c>
      <c r="DZ49" s="265">
        <v>54591</v>
      </c>
      <c r="EA49" s="265">
        <v>52342</v>
      </c>
      <c r="EB49" s="265">
        <v>51504</v>
      </c>
      <c r="EC49" s="265">
        <v>48697</v>
      </c>
      <c r="ED49" s="265">
        <v>36340</v>
      </c>
      <c r="EE49" s="423">
        <v>34345</v>
      </c>
      <c r="EF49" s="266">
        <v>32116</v>
      </c>
    </row>
    <row r="50" spans="1:136" ht="23.1" customHeight="1">
      <c r="A50" s="358" t="s">
        <v>554</v>
      </c>
      <c r="B50" s="359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270"/>
      <c r="AI50" s="358" t="s">
        <v>554</v>
      </c>
      <c r="AJ50" s="301"/>
      <c r="AK50" s="92"/>
      <c r="AL50" s="92"/>
      <c r="AM50" s="92"/>
      <c r="AN50" s="92"/>
      <c r="AO50" s="92"/>
      <c r="AP50" s="92"/>
      <c r="AQ50" s="92"/>
      <c r="AR50" s="92"/>
      <c r="AS50" s="92"/>
      <c r="AT50" s="92"/>
      <c r="AU50" s="92"/>
      <c r="AV50" s="92"/>
      <c r="AW50" s="92"/>
      <c r="AX50" s="92"/>
      <c r="AY50" s="92"/>
      <c r="AZ50" s="92"/>
      <c r="BA50" s="92"/>
      <c r="BB50" s="92"/>
      <c r="BC50" s="92"/>
      <c r="BD50" s="92"/>
      <c r="BE50" s="92"/>
      <c r="BF50" s="92">
        <v>-7784.6038829999998</v>
      </c>
      <c r="BG50" s="92"/>
      <c r="BH50" s="92">
        <v>-7784.6492010000002</v>
      </c>
      <c r="BI50" s="92">
        <v>-1.7973479999999999</v>
      </c>
      <c r="BJ50" s="92">
        <v>-7786.4641460000003</v>
      </c>
      <c r="BK50" s="92">
        <v>-14.381131999999999</v>
      </c>
      <c r="BL50" s="92">
        <v>-4612.1053929999998</v>
      </c>
      <c r="BM50" s="92">
        <v>-17.158044</v>
      </c>
      <c r="BN50" s="92">
        <v>-4665.1204639999996</v>
      </c>
      <c r="BO50" s="92">
        <v>-26.079644999999999</v>
      </c>
      <c r="BP50" s="270">
        <v>-4759.2619240000004</v>
      </c>
      <c r="BQ50" s="358" t="s">
        <v>554</v>
      </c>
      <c r="BR50" s="301">
        <v>-34.663896000000001</v>
      </c>
      <c r="BS50" s="92">
        <v>-4725.5469419999999</v>
      </c>
      <c r="BT50" s="92">
        <v>-38.815733000000002</v>
      </c>
      <c r="BU50" s="92">
        <v>-2491</v>
      </c>
      <c r="BV50" s="92">
        <v>-43.480969999999999</v>
      </c>
      <c r="BW50" s="92">
        <v>-2511</v>
      </c>
      <c r="BX50" s="92">
        <v>-46.616644000000001</v>
      </c>
      <c r="BY50" s="92">
        <v>-2515</v>
      </c>
      <c r="BZ50" s="92">
        <v>-47.750728000000002</v>
      </c>
      <c r="CA50" s="92">
        <v>-2517</v>
      </c>
      <c r="CB50" s="92">
        <v>-48</v>
      </c>
      <c r="CC50" s="92">
        <v>-2518</v>
      </c>
      <c r="CD50" s="92">
        <v>-49</v>
      </c>
      <c r="CE50" s="92">
        <v>-2423</v>
      </c>
      <c r="CF50" s="92">
        <v>-50</v>
      </c>
      <c r="CG50" s="92">
        <v>-2426</v>
      </c>
      <c r="CH50" s="92">
        <v>-52</v>
      </c>
      <c r="CI50" s="92">
        <v>-2429</v>
      </c>
      <c r="CJ50" s="92">
        <v>-55</v>
      </c>
      <c r="CK50" s="92">
        <v>-2432</v>
      </c>
      <c r="CL50" s="92">
        <v>-57</v>
      </c>
      <c r="CM50" s="92">
        <v>-2434</v>
      </c>
      <c r="CN50" s="92">
        <v>-61.026330000000002</v>
      </c>
      <c r="CO50" s="92">
        <v>-2436.9600810000002</v>
      </c>
      <c r="CP50" s="92">
        <v>-65.327972000000003</v>
      </c>
      <c r="CQ50" s="269">
        <v>-2441.3146839999999</v>
      </c>
      <c r="CR50" s="92">
        <v>-1848</v>
      </c>
      <c r="CS50" s="269">
        <v>-4224</v>
      </c>
      <c r="CT50" s="92">
        <v>-1335</v>
      </c>
      <c r="CU50" s="269">
        <v>-4097</v>
      </c>
      <c r="CV50" s="92">
        <v>-799</v>
      </c>
      <c r="CW50" s="269">
        <v>-2833</v>
      </c>
      <c r="CX50" s="299" t="s">
        <v>206</v>
      </c>
      <c r="CY50" s="270">
        <v>-24342</v>
      </c>
      <c r="CZ50" s="351"/>
      <c r="DA50" s="351"/>
      <c r="DB50" s="351"/>
      <c r="DC50" s="351"/>
      <c r="DD50" s="244"/>
      <c r="DE50" s="245"/>
      <c r="DF50" s="245"/>
      <c r="DG50" s="644" t="s">
        <v>521</v>
      </c>
      <c r="DH50" s="395" t="s">
        <v>519</v>
      </c>
      <c r="DI50" s="293" t="s">
        <v>518</v>
      </c>
      <c r="DJ50" s="293" t="s">
        <v>517</v>
      </c>
      <c r="DK50" s="254" t="s">
        <v>516</v>
      </c>
      <c r="DL50" s="254" t="s">
        <v>515</v>
      </c>
      <c r="DM50" s="254" t="s">
        <v>514</v>
      </c>
      <c r="DN50" s="254" t="s">
        <v>497</v>
      </c>
      <c r="DO50" s="254" t="s">
        <v>498</v>
      </c>
      <c r="DP50" s="254" t="s">
        <v>499</v>
      </c>
      <c r="DQ50" s="255" t="s">
        <v>504</v>
      </c>
      <c r="DR50" s="244"/>
      <c r="DS50" s="244"/>
      <c r="DT50" s="245"/>
      <c r="DU50" s="245"/>
      <c r="DV50" s="636" t="s">
        <v>521</v>
      </c>
      <c r="DW50" s="253" t="s">
        <v>517</v>
      </c>
      <c r="DX50" s="293" t="s">
        <v>515</v>
      </c>
      <c r="DY50" s="422" t="s">
        <v>518</v>
      </c>
      <c r="DZ50" s="402" t="s">
        <v>519</v>
      </c>
      <c r="EA50" s="254" t="s">
        <v>497</v>
      </c>
      <c r="EB50" s="254" t="s">
        <v>514</v>
      </c>
      <c r="EC50" s="254" t="s">
        <v>498</v>
      </c>
      <c r="ED50" s="254" t="s">
        <v>502</v>
      </c>
      <c r="EE50" s="254" t="s">
        <v>500</v>
      </c>
      <c r="EF50" s="255" t="s">
        <v>516</v>
      </c>
    </row>
    <row r="51" spans="1:136" ht="23.1" customHeight="1" thickBot="1">
      <c r="A51" s="360" t="s">
        <v>555</v>
      </c>
      <c r="B51" s="359">
        <f t="shared" ref="B51:P51" si="76">B44+B46+B50</f>
        <v>1.5</v>
      </c>
      <c r="C51" s="92">
        <f t="shared" si="76"/>
        <v>1.5</v>
      </c>
      <c r="D51" s="92">
        <f t="shared" si="76"/>
        <v>8.1144379499999992</v>
      </c>
      <c r="E51" s="92">
        <f t="shared" si="76"/>
        <v>13.966441</v>
      </c>
      <c r="F51" s="92">
        <f t="shared" si="76"/>
        <v>33.417430000000003</v>
      </c>
      <c r="G51" s="92">
        <f t="shared" si="76"/>
        <v>40.466356439999998</v>
      </c>
      <c r="H51" s="92">
        <f t="shared" si="76"/>
        <v>79.206653000000003</v>
      </c>
      <c r="I51" s="92">
        <f t="shared" si="76"/>
        <v>100.99529200000001</v>
      </c>
      <c r="J51" s="92">
        <f t="shared" si="76"/>
        <v>211.01852099999999</v>
      </c>
      <c r="K51" s="92">
        <f t="shared" si="76"/>
        <v>360.76094499999999</v>
      </c>
      <c r="L51" s="92">
        <f t="shared" si="76"/>
        <v>521.96559200000002</v>
      </c>
      <c r="M51" s="92">
        <f t="shared" si="76"/>
        <v>727.30419400000005</v>
      </c>
      <c r="N51" s="92">
        <f t="shared" si="76"/>
        <v>995.87833000000001</v>
      </c>
      <c r="O51" s="92">
        <f t="shared" si="76"/>
        <v>1563.0991370000002</v>
      </c>
      <c r="P51" s="92">
        <f t="shared" si="76"/>
        <v>1507.3589589999999</v>
      </c>
      <c r="Q51" s="92">
        <f>Q44+Q46+Q50</f>
        <v>3250.783492</v>
      </c>
      <c r="R51" s="92">
        <f t="shared" ref="R51:BC51" si="77">R44+R45+R46+R50</f>
        <v>4990.3273179999997</v>
      </c>
      <c r="S51" s="92">
        <f t="shared" si="77"/>
        <v>6820.4974400000001</v>
      </c>
      <c r="T51" s="92">
        <f t="shared" si="77"/>
        <v>6917.9419340000004</v>
      </c>
      <c r="U51" s="92">
        <f t="shared" si="77"/>
        <v>7651.408711</v>
      </c>
      <c r="V51" s="92">
        <f t="shared" si="77"/>
        <v>8443.727954</v>
      </c>
      <c r="W51" s="92">
        <f t="shared" si="77"/>
        <v>9272.4631630000003</v>
      </c>
      <c r="X51" s="92">
        <f t="shared" si="77"/>
        <v>10207.046990999999</v>
      </c>
      <c r="Y51" s="92">
        <f t="shared" si="77"/>
        <v>13256.615969999999</v>
      </c>
      <c r="Z51" s="92">
        <f t="shared" si="77"/>
        <v>15552.343940999999</v>
      </c>
      <c r="AA51" s="92">
        <f t="shared" si="77"/>
        <v>23080.804582999997</v>
      </c>
      <c r="AB51" s="92">
        <f t="shared" si="77"/>
        <v>33735.523407000001</v>
      </c>
      <c r="AC51" s="92">
        <f t="shared" si="77"/>
        <v>36683.948285999999</v>
      </c>
      <c r="AD51" s="92">
        <f t="shared" si="77"/>
        <v>38857.457836000001</v>
      </c>
      <c r="AE51" s="92">
        <f t="shared" si="77"/>
        <v>44454.474715999997</v>
      </c>
      <c r="AF51" s="92">
        <f t="shared" si="77"/>
        <v>49033.190107999995</v>
      </c>
      <c r="AG51" s="92">
        <f t="shared" si="77"/>
        <v>53029.793951999993</v>
      </c>
      <c r="AH51" s="270">
        <f t="shared" si="77"/>
        <v>57410.862937999998</v>
      </c>
      <c r="AI51" s="360" t="s">
        <v>555</v>
      </c>
      <c r="AJ51" s="301">
        <f t="shared" si="77"/>
        <v>61818.824606999995</v>
      </c>
      <c r="AK51" s="92">
        <f t="shared" si="77"/>
        <v>66914.849411000003</v>
      </c>
      <c r="AL51" s="92">
        <f t="shared" si="77"/>
        <v>76974.481537000014</v>
      </c>
      <c r="AM51" s="92">
        <f t="shared" si="77"/>
        <v>83423.216</v>
      </c>
      <c r="AN51" s="92">
        <f t="shared" si="77"/>
        <v>89864.091</v>
      </c>
      <c r="AO51" s="92">
        <f t="shared" si="77"/>
        <v>96933.57289000001</v>
      </c>
      <c r="AP51" s="92">
        <f t="shared" si="77"/>
        <v>103580.94152699997</v>
      </c>
      <c r="AQ51" s="92">
        <f t="shared" si="77"/>
        <v>107330.11102300002</v>
      </c>
      <c r="AR51" s="92">
        <f t="shared" si="77"/>
        <v>111598.01963699999</v>
      </c>
      <c r="AS51" s="92">
        <f t="shared" si="77"/>
        <v>111370.71111800001</v>
      </c>
      <c r="AT51" s="92">
        <f t="shared" si="77"/>
        <v>117579.61279799999</v>
      </c>
      <c r="AU51" s="92">
        <f t="shared" si="77"/>
        <v>132258.17626400001</v>
      </c>
      <c r="AV51" s="92">
        <f t="shared" si="77"/>
        <v>142299.71270899998</v>
      </c>
      <c r="AW51" s="92">
        <f t="shared" si="77"/>
        <v>146369.388114</v>
      </c>
      <c r="AX51" s="92">
        <f t="shared" si="77"/>
        <v>148471.711071</v>
      </c>
      <c r="AY51" s="92">
        <f t="shared" si="77"/>
        <v>152736.81016300002</v>
      </c>
      <c r="AZ51" s="92">
        <f t="shared" si="77"/>
        <v>155936.78055699999</v>
      </c>
      <c r="BA51" s="92">
        <f t="shared" si="77"/>
        <v>160270.73590979999</v>
      </c>
      <c r="BB51" s="92">
        <f t="shared" si="77"/>
        <v>166909.76857299998</v>
      </c>
      <c r="BC51" s="92">
        <f t="shared" si="77"/>
        <v>167092.491783</v>
      </c>
      <c r="BD51" s="92">
        <f>BD44+BD45+BD46+BD50+2</f>
        <v>199224.517918</v>
      </c>
      <c r="BE51" s="92">
        <f>BE44+BE45+BE46+BE50+2</f>
        <v>148701.332054</v>
      </c>
      <c r="BF51" s="92">
        <f t="shared" ref="BF51:BT51" si="78">BF44+BF45+BF46+BF50</f>
        <v>160975.15994799999</v>
      </c>
      <c r="BG51" s="92">
        <f t="shared" si="78"/>
        <v>149035.36006000001</v>
      </c>
      <c r="BH51" s="92">
        <f t="shared" si="78"/>
        <v>160430.956504</v>
      </c>
      <c r="BI51" s="92">
        <f t="shared" si="78"/>
        <v>146792.50932899999</v>
      </c>
      <c r="BJ51" s="92">
        <f t="shared" si="78"/>
        <v>158854.62464199998</v>
      </c>
      <c r="BK51" s="92">
        <f t="shared" si="78"/>
        <v>136885.88805099999</v>
      </c>
      <c r="BL51" s="92">
        <f t="shared" si="78"/>
        <v>152686.09964499998</v>
      </c>
      <c r="BM51" s="92">
        <f t="shared" si="78"/>
        <v>138090.86380399999</v>
      </c>
      <c r="BN51" s="92">
        <f t="shared" si="78"/>
        <v>154565.43292599998</v>
      </c>
      <c r="BO51" s="92">
        <f t="shared" si="78"/>
        <v>137216.69536700001</v>
      </c>
      <c r="BP51" s="270">
        <f t="shared" si="78"/>
        <v>153805.125351</v>
      </c>
      <c r="BQ51" s="360" t="s">
        <v>555</v>
      </c>
      <c r="BR51" s="301">
        <f t="shared" si="78"/>
        <v>137598.35745799998</v>
      </c>
      <c r="BS51" s="92">
        <f t="shared" si="78"/>
        <v>156865.23770600001</v>
      </c>
      <c r="BT51" s="92">
        <f t="shared" si="78"/>
        <v>135273.947155</v>
      </c>
      <c r="BU51" s="92">
        <f>BU44+BU45+BU46+BU50+1</f>
        <v>156908</v>
      </c>
      <c r="BV51" s="92">
        <f>BV44+BV45+BV46+BV50</f>
        <v>88391.969587</v>
      </c>
      <c r="BW51" s="92">
        <f>BW44+BW45+BW46+BW50</f>
        <v>109842</v>
      </c>
      <c r="BX51" s="92">
        <f>BX44+BX45+BX46+BX50+1</f>
        <v>88800.543613999995</v>
      </c>
      <c r="BY51" s="92">
        <f>BY44+BY45+BY46+BY50+2</f>
        <v>111221</v>
      </c>
      <c r="BZ51" s="92">
        <f>BZ44+BZ45+BZ46+BZ50+1</f>
        <v>90001.572855999999</v>
      </c>
      <c r="CA51" s="92">
        <f>CA44+CA45+CA46+CA50+1</f>
        <v>112356</v>
      </c>
      <c r="CB51" s="92">
        <f>CB44+CB45+CB46+CB50</f>
        <v>86342</v>
      </c>
      <c r="CC51" s="92">
        <f>CC44+CC45+CC46+CC50+1</f>
        <v>108569</v>
      </c>
      <c r="CD51" s="92">
        <f>CD44+CD45+CD46+CD50+1</f>
        <v>86710</v>
      </c>
      <c r="CE51" s="92">
        <f>CE44+CE45+CE46+CE50+2</f>
        <v>110628</v>
      </c>
      <c r="CF51" s="92">
        <f>CF44+CF45+CF46+CF50+1</f>
        <v>76802</v>
      </c>
      <c r="CG51" s="92">
        <f>CG44+CG45+CG46+CG50+1</f>
        <v>104112</v>
      </c>
      <c r="CH51" s="92">
        <f>CH44+CH45+CH46+CH50+1</f>
        <v>80990</v>
      </c>
      <c r="CI51" s="92">
        <f>CI44+CI45+CI46+CI50+2</f>
        <v>112134</v>
      </c>
      <c r="CJ51" s="92">
        <f>CJ44+CJ45+CJ46+CJ50+1</f>
        <v>88467</v>
      </c>
      <c r="CK51" s="92">
        <f>CK44+CK45+CK46+CK50+2</f>
        <v>126343</v>
      </c>
      <c r="CL51" s="92">
        <f>CL44+CL45+CL46+CL50+1</f>
        <v>99681</v>
      </c>
      <c r="CM51" s="92">
        <f>CM44+CM45+CM46+CM50+1</f>
        <v>141987</v>
      </c>
      <c r="CN51" s="92">
        <f>CN44+CN45+CN46+CN50</f>
        <v>126683.59563900001</v>
      </c>
      <c r="CO51" s="92">
        <f>CO44+CO45+CO46+CO50</f>
        <v>173810.39902700001</v>
      </c>
      <c r="CP51" s="92">
        <f>CP44+CP45+CP46+CP50</f>
        <v>142945.646347</v>
      </c>
      <c r="CQ51" s="269">
        <f>CQ44+CQ45+CQ46+CQ50</f>
        <v>194199.440149</v>
      </c>
      <c r="CR51" s="92">
        <f>CR44+CR45+CR46+CR50+1</f>
        <v>158495.34930900001</v>
      </c>
      <c r="CS51" s="269">
        <f>CS44+CS45+CS46+CS50</f>
        <v>213207</v>
      </c>
      <c r="CT51" s="92">
        <f>CT44+CT45+CT46+CT50+1</f>
        <v>172712.34930900001</v>
      </c>
      <c r="CU51" s="269">
        <f>CU44+CU45+CU46+CU50</f>
        <v>219953</v>
      </c>
      <c r="CV51" s="92">
        <f>CV44+CV45+CV46+CV50</f>
        <v>205591.34930900001</v>
      </c>
      <c r="CW51" s="269">
        <f>CW44+CW45+CW46+CW50+1</f>
        <v>241706</v>
      </c>
      <c r="CX51" s="92">
        <f>CX44+CX45+CX46+1</f>
        <v>227188.34930900001</v>
      </c>
      <c r="CY51" s="270">
        <f>CY44+CY45+CY46+CY50</f>
        <v>328048</v>
      </c>
      <c r="CZ51" s="351"/>
      <c r="DA51" s="351"/>
      <c r="DB51" s="351"/>
      <c r="DC51" s="351"/>
      <c r="DD51" s="244"/>
      <c r="DE51" s="245"/>
      <c r="DF51" s="245"/>
      <c r="DG51" s="645"/>
      <c r="DH51" s="396">
        <v>328048</v>
      </c>
      <c r="DI51" s="294">
        <v>241706</v>
      </c>
      <c r="DJ51" s="294">
        <v>219954</v>
      </c>
      <c r="DK51" s="265">
        <v>213207</v>
      </c>
      <c r="DL51" s="265">
        <v>194199</v>
      </c>
      <c r="DM51" s="265">
        <v>173810</v>
      </c>
      <c r="DN51" s="265">
        <v>160975</v>
      </c>
      <c r="DO51" s="265">
        <v>160431</v>
      </c>
      <c r="DP51" s="265">
        <v>158855</v>
      </c>
      <c r="DQ51" s="266">
        <v>156908</v>
      </c>
      <c r="DR51" s="244"/>
      <c r="DS51" s="244"/>
      <c r="DT51" s="245"/>
      <c r="DU51" s="245"/>
      <c r="DV51" s="641"/>
      <c r="DW51" s="264">
        <v>119198</v>
      </c>
      <c r="DX51" s="294">
        <v>102475</v>
      </c>
      <c r="DY51" s="423">
        <v>100687</v>
      </c>
      <c r="DZ51" s="403">
        <v>78035</v>
      </c>
      <c r="EA51" s="265">
        <v>67958</v>
      </c>
      <c r="EB51" s="265">
        <v>66804</v>
      </c>
      <c r="EC51" s="265">
        <v>64705</v>
      </c>
      <c r="ED51" s="265">
        <v>59789</v>
      </c>
      <c r="EE51" s="265">
        <v>58733</v>
      </c>
      <c r="EF51" s="266">
        <v>57949</v>
      </c>
    </row>
    <row r="52" spans="1:136" ht="23.1" customHeight="1" thickBot="1">
      <c r="A52" s="361" t="s">
        <v>556</v>
      </c>
      <c r="B52" s="359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270"/>
      <c r="AI52" s="361" t="s">
        <v>556</v>
      </c>
      <c r="AJ52" s="301"/>
      <c r="AK52" s="92"/>
      <c r="AL52" s="92"/>
      <c r="AM52" s="92"/>
      <c r="AN52" s="92"/>
      <c r="AO52" s="92"/>
      <c r="AP52" s="92"/>
      <c r="AQ52" s="92"/>
      <c r="AR52" s="92"/>
      <c r="AS52" s="92"/>
      <c r="AT52" s="92"/>
      <c r="AU52" s="92"/>
      <c r="AV52" s="92"/>
      <c r="AW52" s="92"/>
      <c r="AX52" s="92"/>
      <c r="AY52" s="92"/>
      <c r="AZ52" s="92"/>
      <c r="BA52" s="92"/>
      <c r="BB52" s="92"/>
      <c r="BC52" s="92"/>
      <c r="BD52" s="92"/>
      <c r="BE52" s="92"/>
      <c r="BF52" s="92"/>
      <c r="BG52" s="92">
        <v>14754.620122</v>
      </c>
      <c r="BH52" s="92">
        <v>14915.898832999999</v>
      </c>
      <c r="BI52" s="92">
        <v>11171.206142999999</v>
      </c>
      <c r="BJ52" s="92">
        <v>11218.257884000001</v>
      </c>
      <c r="BK52" s="92">
        <v>8940.3302739999999</v>
      </c>
      <c r="BL52" s="92">
        <v>8975.3606390000004</v>
      </c>
      <c r="BM52" s="92">
        <v>14972.403333</v>
      </c>
      <c r="BN52" s="92">
        <v>15450.013772</v>
      </c>
      <c r="BO52" s="92">
        <v>16403.594010000001</v>
      </c>
      <c r="BP52" s="270">
        <v>16797.749284000001</v>
      </c>
      <c r="BQ52" s="361" t="s">
        <v>556</v>
      </c>
      <c r="BR52" s="301">
        <v>27184.21586</v>
      </c>
      <c r="BS52" s="92">
        <v>28280.001789000002</v>
      </c>
      <c r="BT52" s="92">
        <v>32956.619621999998</v>
      </c>
      <c r="BU52" s="92">
        <v>33758</v>
      </c>
      <c r="BV52" s="92">
        <v>18974.278104000001</v>
      </c>
      <c r="BW52" s="92">
        <v>19507</v>
      </c>
      <c r="BX52" s="92">
        <v>6619.223387</v>
      </c>
      <c r="BY52" s="92">
        <v>6652</v>
      </c>
      <c r="BZ52" s="92">
        <v>9940.5878659999998</v>
      </c>
      <c r="CA52" s="92">
        <v>10181</v>
      </c>
      <c r="CB52" s="92">
        <v>6138</v>
      </c>
      <c r="CC52" s="92">
        <v>6429</v>
      </c>
      <c r="CD52" s="92">
        <v>6577</v>
      </c>
      <c r="CE52" s="92">
        <v>6943</v>
      </c>
      <c r="CF52" s="92">
        <v>13194</v>
      </c>
      <c r="CG52" s="92">
        <v>13710</v>
      </c>
      <c r="CH52" s="92">
        <v>19124</v>
      </c>
      <c r="CI52" s="92">
        <v>19876</v>
      </c>
      <c r="CJ52" s="92">
        <v>30340</v>
      </c>
      <c r="CK52" s="92">
        <v>31541</v>
      </c>
      <c r="CL52" s="92">
        <v>25673</v>
      </c>
      <c r="CM52" s="92">
        <v>26348</v>
      </c>
      <c r="CN52" s="92">
        <v>24500.455259999999</v>
      </c>
      <c r="CO52" s="92">
        <v>25651.094860000001</v>
      </c>
      <c r="CP52" s="92">
        <v>30710.141793999999</v>
      </c>
      <c r="CQ52" s="269">
        <v>32551.613528000002</v>
      </c>
      <c r="CR52" s="92">
        <v>31577</v>
      </c>
      <c r="CS52" s="269">
        <v>33091</v>
      </c>
      <c r="CT52" s="92">
        <v>15036</v>
      </c>
      <c r="CU52" s="269">
        <v>15336</v>
      </c>
      <c r="CV52" s="92">
        <v>27685</v>
      </c>
      <c r="CW52" s="269">
        <v>29218</v>
      </c>
      <c r="CX52" s="92">
        <v>18126</v>
      </c>
      <c r="CY52" s="270">
        <v>18275</v>
      </c>
      <c r="CZ52" s="351"/>
      <c r="DA52" s="351"/>
      <c r="DB52" s="351"/>
      <c r="DC52" s="351"/>
      <c r="DD52" s="273"/>
      <c r="DS52" s="273"/>
    </row>
    <row r="53" spans="1:136" ht="23.1" customHeight="1">
      <c r="A53" s="361" t="s">
        <v>557</v>
      </c>
      <c r="B53" s="359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270"/>
      <c r="AI53" s="361" t="s">
        <v>557</v>
      </c>
      <c r="AJ53" s="301"/>
      <c r="AK53" s="92"/>
      <c r="AL53" s="92"/>
      <c r="AM53" s="92"/>
      <c r="AN53" s="92"/>
      <c r="AO53" s="92"/>
      <c r="AP53" s="92"/>
      <c r="AQ53" s="92"/>
      <c r="AR53" s="92"/>
      <c r="AS53" s="92"/>
      <c r="AT53" s="92"/>
      <c r="AU53" s="92"/>
      <c r="AV53" s="92"/>
      <c r="AW53" s="92"/>
      <c r="AX53" s="92"/>
      <c r="AY53" s="92"/>
      <c r="AZ53" s="92"/>
      <c r="BA53" s="92"/>
      <c r="BB53" s="92"/>
      <c r="BC53" s="92"/>
      <c r="BD53" s="92"/>
      <c r="BE53" s="92"/>
      <c r="BF53" s="92"/>
      <c r="BG53" s="92"/>
      <c r="BH53" s="92">
        <v>-54.167662999999997</v>
      </c>
      <c r="BI53" s="92"/>
      <c r="BJ53" s="92">
        <v>-41.303849999999997</v>
      </c>
      <c r="BK53" s="92"/>
      <c r="BL53" s="92">
        <v>-49.310504000000002</v>
      </c>
      <c r="BM53" s="92"/>
      <c r="BN53" s="92">
        <v>-54.893771999999998</v>
      </c>
      <c r="BO53" s="92"/>
      <c r="BP53" s="270">
        <v>-53.896389999999997</v>
      </c>
      <c r="BQ53" s="361" t="s">
        <v>557</v>
      </c>
      <c r="BR53" s="301"/>
      <c r="BS53" s="92">
        <v>-46.120569000000003</v>
      </c>
      <c r="BT53" s="92"/>
      <c r="BU53" s="92">
        <v>-31</v>
      </c>
      <c r="BV53" s="92"/>
      <c r="BW53" s="92">
        <v>-77</v>
      </c>
      <c r="BX53" s="92"/>
      <c r="BY53" s="92">
        <v>-92</v>
      </c>
      <c r="BZ53" s="92"/>
      <c r="CA53" s="92">
        <v>-91</v>
      </c>
      <c r="CB53" s="92"/>
      <c r="CC53" s="92">
        <v>-30</v>
      </c>
      <c r="CD53" s="92"/>
      <c r="CE53" s="92">
        <v>-31</v>
      </c>
      <c r="CF53" s="92"/>
      <c r="CG53" s="92">
        <v>-19</v>
      </c>
      <c r="CH53" s="92"/>
      <c r="CI53" s="92">
        <f>-19-7642</f>
        <v>-7661</v>
      </c>
      <c r="CJ53" s="92"/>
      <c r="CK53" s="92">
        <f>34-5125</f>
        <v>-5091</v>
      </c>
      <c r="CL53" s="92"/>
      <c r="CM53" s="92">
        <v>-11215</v>
      </c>
      <c r="CN53" s="92"/>
      <c r="CO53" s="92">
        <f>15.263152-8921.3441-10.722308</f>
        <v>-8916.8032560000011</v>
      </c>
      <c r="CP53" s="92">
        <v>-37.593170999999998</v>
      </c>
      <c r="CQ53" s="269">
        <f>-27.408763-5636.423842+6.640728</f>
        <v>-5657.1918770000002</v>
      </c>
      <c r="CR53" s="92">
        <v>0</v>
      </c>
      <c r="CS53" s="269">
        <f>-17-7091+17</f>
        <v>-7091</v>
      </c>
      <c r="CT53" s="92">
        <v>0</v>
      </c>
      <c r="CU53" s="269">
        <f>-16-6880-0</f>
        <v>-6896</v>
      </c>
      <c r="CV53" s="92">
        <v>0</v>
      </c>
      <c r="CW53" s="269">
        <v>-900</v>
      </c>
      <c r="CX53" s="92">
        <v>0</v>
      </c>
      <c r="CY53" s="270">
        <v>587</v>
      </c>
      <c r="CZ53" s="351"/>
      <c r="DA53" s="351"/>
      <c r="DB53" s="351"/>
      <c r="DC53" s="351"/>
      <c r="DD53" s="244" t="s">
        <v>558</v>
      </c>
      <c r="DE53" s="245"/>
      <c r="DF53" s="245"/>
      <c r="DG53" s="642" t="s">
        <v>520</v>
      </c>
      <c r="DH53" s="253" t="s">
        <v>504</v>
      </c>
      <c r="DI53" s="254" t="s">
        <v>516</v>
      </c>
      <c r="DJ53" s="254" t="s">
        <v>515</v>
      </c>
      <c r="DK53" s="254" t="s">
        <v>512</v>
      </c>
      <c r="DL53" s="422" t="s">
        <v>559</v>
      </c>
      <c r="DM53" s="254" t="s">
        <v>503</v>
      </c>
      <c r="DN53" s="254" t="s">
        <v>513</v>
      </c>
      <c r="DO53" s="254" t="s">
        <v>514</v>
      </c>
      <c r="DP53" s="254" t="s">
        <v>511</v>
      </c>
      <c r="DQ53" s="255" t="s">
        <v>505</v>
      </c>
      <c r="DS53" s="244" t="s">
        <v>560</v>
      </c>
      <c r="DT53" s="245"/>
      <c r="DU53" s="245"/>
      <c r="DV53" s="636" t="s">
        <v>520</v>
      </c>
      <c r="DW53" s="253" t="s">
        <v>515</v>
      </c>
      <c r="DX53" s="254" t="s">
        <v>514</v>
      </c>
      <c r="DY53" s="254" t="s">
        <v>498</v>
      </c>
      <c r="DZ53" s="254" t="s">
        <v>497</v>
      </c>
      <c r="EA53" s="254" t="s">
        <v>502</v>
      </c>
      <c r="EB53" s="254" t="s">
        <v>499</v>
      </c>
      <c r="EC53" s="254" t="s">
        <v>516</v>
      </c>
      <c r="ED53" s="254" t="s">
        <v>500</v>
      </c>
      <c r="EE53" s="254" t="s">
        <v>501</v>
      </c>
      <c r="EF53" s="406" t="s">
        <v>519</v>
      </c>
    </row>
    <row r="54" spans="1:136" ht="23.1" customHeight="1" thickBot="1">
      <c r="A54" s="360" t="s">
        <v>561</v>
      </c>
      <c r="B54" s="359">
        <f t="shared" ref="B54:K54" si="79">B52+B53</f>
        <v>0</v>
      </c>
      <c r="C54" s="92">
        <f t="shared" si="79"/>
        <v>0</v>
      </c>
      <c r="D54" s="92">
        <f t="shared" si="79"/>
        <v>0</v>
      </c>
      <c r="E54" s="92">
        <f t="shared" si="79"/>
        <v>0</v>
      </c>
      <c r="F54" s="92">
        <f t="shared" si="79"/>
        <v>0</v>
      </c>
      <c r="G54" s="92">
        <f t="shared" si="79"/>
        <v>0</v>
      </c>
      <c r="H54" s="92">
        <f t="shared" si="79"/>
        <v>0</v>
      </c>
      <c r="I54" s="92">
        <f t="shared" si="79"/>
        <v>0</v>
      </c>
      <c r="J54" s="92">
        <f t="shared" si="79"/>
        <v>0</v>
      </c>
      <c r="K54" s="92">
        <f t="shared" si="79"/>
        <v>0</v>
      </c>
      <c r="L54" s="92">
        <f>L52+L53</f>
        <v>0</v>
      </c>
      <c r="M54" s="92">
        <f t="shared" ref="M54:Q54" si="80">M52+M53</f>
        <v>0</v>
      </c>
      <c r="N54" s="92">
        <f t="shared" si="80"/>
        <v>0</v>
      </c>
      <c r="O54" s="92">
        <f t="shared" si="80"/>
        <v>0</v>
      </c>
      <c r="P54" s="92">
        <f t="shared" si="80"/>
        <v>0</v>
      </c>
      <c r="Q54" s="92">
        <f t="shared" si="80"/>
        <v>0</v>
      </c>
      <c r="R54" s="92">
        <f>R52+R53</f>
        <v>0</v>
      </c>
      <c r="S54" s="92">
        <f t="shared" ref="S54:AT54" si="81">S52+S53</f>
        <v>0</v>
      </c>
      <c r="T54" s="92">
        <f t="shared" si="81"/>
        <v>0</v>
      </c>
      <c r="U54" s="92">
        <f t="shared" si="81"/>
        <v>0</v>
      </c>
      <c r="V54" s="92">
        <f t="shared" si="81"/>
        <v>0</v>
      </c>
      <c r="W54" s="92">
        <f t="shared" si="81"/>
        <v>0</v>
      </c>
      <c r="X54" s="92">
        <f t="shared" si="81"/>
        <v>0</v>
      </c>
      <c r="Y54" s="92">
        <f t="shared" si="81"/>
        <v>0</v>
      </c>
      <c r="Z54" s="92">
        <f t="shared" si="81"/>
        <v>0</v>
      </c>
      <c r="AA54" s="92">
        <f t="shared" si="81"/>
        <v>0</v>
      </c>
      <c r="AB54" s="92">
        <f t="shared" si="81"/>
        <v>0</v>
      </c>
      <c r="AC54" s="92">
        <f t="shared" si="81"/>
        <v>0</v>
      </c>
      <c r="AD54" s="92">
        <f t="shared" si="81"/>
        <v>0</v>
      </c>
      <c r="AE54" s="92">
        <f t="shared" si="81"/>
        <v>0</v>
      </c>
      <c r="AF54" s="92">
        <f t="shared" si="81"/>
        <v>0</v>
      </c>
      <c r="AG54" s="92">
        <f t="shared" si="81"/>
        <v>0</v>
      </c>
      <c r="AH54" s="270">
        <f t="shared" si="81"/>
        <v>0</v>
      </c>
      <c r="AI54" s="360" t="s">
        <v>561</v>
      </c>
      <c r="AJ54" s="301">
        <f t="shared" si="81"/>
        <v>0</v>
      </c>
      <c r="AK54" s="92">
        <f t="shared" si="81"/>
        <v>0</v>
      </c>
      <c r="AL54" s="92">
        <f t="shared" si="81"/>
        <v>0</v>
      </c>
      <c r="AM54" s="92">
        <f t="shared" si="81"/>
        <v>0</v>
      </c>
      <c r="AN54" s="92">
        <f t="shared" si="81"/>
        <v>0</v>
      </c>
      <c r="AO54" s="92">
        <f t="shared" si="81"/>
        <v>0</v>
      </c>
      <c r="AP54" s="92">
        <f t="shared" si="81"/>
        <v>0</v>
      </c>
      <c r="AQ54" s="92">
        <f t="shared" si="81"/>
        <v>0</v>
      </c>
      <c r="AR54" s="92">
        <f t="shared" si="81"/>
        <v>0</v>
      </c>
      <c r="AS54" s="92">
        <f t="shared" si="81"/>
        <v>0</v>
      </c>
      <c r="AT54" s="92">
        <f t="shared" si="81"/>
        <v>0</v>
      </c>
      <c r="AU54" s="92">
        <f>AU52+AU53</f>
        <v>0</v>
      </c>
      <c r="AV54" s="92">
        <f t="shared" ref="AV54:BV54" si="82">AV52+AV53</f>
        <v>0</v>
      </c>
      <c r="AW54" s="92">
        <f t="shared" si="82"/>
        <v>0</v>
      </c>
      <c r="AX54" s="92">
        <f t="shared" si="82"/>
        <v>0</v>
      </c>
      <c r="AY54" s="92">
        <f t="shared" si="82"/>
        <v>0</v>
      </c>
      <c r="AZ54" s="92">
        <f t="shared" si="82"/>
        <v>0</v>
      </c>
      <c r="BA54" s="92">
        <f t="shared" si="82"/>
        <v>0</v>
      </c>
      <c r="BB54" s="92">
        <f t="shared" si="82"/>
        <v>0</v>
      </c>
      <c r="BC54" s="92">
        <f t="shared" si="82"/>
        <v>0</v>
      </c>
      <c r="BD54" s="92">
        <f t="shared" si="82"/>
        <v>0</v>
      </c>
      <c r="BE54" s="92">
        <f t="shared" si="82"/>
        <v>0</v>
      </c>
      <c r="BF54" s="92">
        <f t="shared" si="82"/>
        <v>0</v>
      </c>
      <c r="BG54" s="92">
        <f t="shared" si="82"/>
        <v>14754.620122</v>
      </c>
      <c r="BH54" s="92">
        <f t="shared" si="82"/>
        <v>14861.731169999999</v>
      </c>
      <c r="BI54" s="92">
        <f t="shared" si="82"/>
        <v>11171.206142999999</v>
      </c>
      <c r="BJ54" s="92">
        <f t="shared" si="82"/>
        <v>11176.954034</v>
      </c>
      <c r="BK54" s="92">
        <f t="shared" si="82"/>
        <v>8940.3302739999999</v>
      </c>
      <c r="BL54" s="92">
        <f t="shared" si="82"/>
        <v>8926.0501350000013</v>
      </c>
      <c r="BM54" s="92">
        <f t="shared" si="82"/>
        <v>14972.403333</v>
      </c>
      <c r="BN54" s="92">
        <f t="shared" si="82"/>
        <v>15395.12</v>
      </c>
      <c r="BO54" s="92">
        <f t="shared" si="82"/>
        <v>16403.594010000001</v>
      </c>
      <c r="BP54" s="270">
        <f t="shared" si="82"/>
        <v>16743.852894</v>
      </c>
      <c r="BQ54" s="360" t="s">
        <v>561</v>
      </c>
      <c r="BR54" s="301">
        <f t="shared" si="82"/>
        <v>27184.21586</v>
      </c>
      <c r="BS54" s="92">
        <f t="shared" si="82"/>
        <v>28233.881220000003</v>
      </c>
      <c r="BT54" s="92">
        <f t="shared" si="82"/>
        <v>32956.619621999998</v>
      </c>
      <c r="BU54" s="92">
        <f t="shared" si="82"/>
        <v>33727</v>
      </c>
      <c r="BV54" s="92">
        <f t="shared" si="82"/>
        <v>18974.278104000001</v>
      </c>
      <c r="BW54" s="92">
        <f>BW52+BW53-1</f>
        <v>19429</v>
      </c>
      <c r="BX54" s="92">
        <f>BX52+BX53</f>
        <v>6619.223387</v>
      </c>
      <c r="BY54" s="92">
        <f>BY52+BY53-1</f>
        <v>6559</v>
      </c>
      <c r="BZ54" s="92">
        <f>BZ52+BZ53</f>
        <v>9940.5878659999998</v>
      </c>
      <c r="CA54" s="92">
        <f>CA52+CA53-1</f>
        <v>10089</v>
      </c>
      <c r="CB54" s="92">
        <f>CB52+CB53</f>
        <v>6138</v>
      </c>
      <c r="CC54" s="92">
        <f>CC52+CC53</f>
        <v>6399</v>
      </c>
      <c r="CD54" s="92">
        <f>CD52+CD53</f>
        <v>6577</v>
      </c>
      <c r="CE54" s="92">
        <f>CE52+CE53-1</f>
        <v>6911</v>
      </c>
      <c r="CF54" s="92">
        <f>CF52+CF53</f>
        <v>13194</v>
      </c>
      <c r="CG54" s="92">
        <f>CG52+CG53</f>
        <v>13691</v>
      </c>
      <c r="CH54" s="92">
        <f>CH52+CH53</f>
        <v>19124</v>
      </c>
      <c r="CI54" s="92">
        <f>CI52+CI53-1</f>
        <v>12214</v>
      </c>
      <c r="CJ54" s="92">
        <f>CJ52+CJ53</f>
        <v>30340</v>
      </c>
      <c r="CK54" s="92">
        <f>CK52+CK53-1</f>
        <v>26449</v>
      </c>
      <c r="CL54" s="92">
        <f>CL52+CL53</f>
        <v>25673</v>
      </c>
      <c r="CM54" s="92">
        <f>CM52+CM53-1</f>
        <v>15132</v>
      </c>
      <c r="CN54" s="92">
        <f>CN52+CN53</f>
        <v>24500.455259999999</v>
      </c>
      <c r="CO54" s="92">
        <f>CO52+CO53</f>
        <v>16734.291603999998</v>
      </c>
      <c r="CP54" s="92">
        <f>CP52+CP53</f>
        <v>30672.548622999999</v>
      </c>
      <c r="CQ54" s="269">
        <f>CQ52+CQ53</f>
        <v>26894.421651000001</v>
      </c>
      <c r="CR54" s="92">
        <f>CR52+CR53-1</f>
        <v>31576</v>
      </c>
      <c r="CS54" s="269">
        <f>CS52+CS53</f>
        <v>26000</v>
      </c>
      <c r="CT54" s="92">
        <f>CT52+CT53</f>
        <v>15036</v>
      </c>
      <c r="CU54" s="269">
        <f>CU52+CU53-1</f>
        <v>8439</v>
      </c>
      <c r="CV54" s="92">
        <f>CV52+CV53</f>
        <v>27685</v>
      </c>
      <c r="CW54" s="269">
        <f>CW52+CW53-1</f>
        <v>28317</v>
      </c>
      <c r="CX54" s="92">
        <f>CX52+CX53</f>
        <v>18126</v>
      </c>
      <c r="CY54" s="270">
        <f>CY52+CY53+1</f>
        <v>18863</v>
      </c>
      <c r="CZ54" s="351"/>
      <c r="DA54" s="351"/>
      <c r="DB54" s="351"/>
      <c r="DC54" s="351"/>
      <c r="DD54" s="273"/>
      <c r="DE54" s="245"/>
      <c r="DF54" s="245"/>
      <c r="DG54" s="643"/>
      <c r="DH54" s="264">
        <v>32957</v>
      </c>
      <c r="DI54" s="265">
        <v>31577</v>
      </c>
      <c r="DJ54" s="265">
        <v>30710</v>
      </c>
      <c r="DK54" s="265">
        <v>30340</v>
      </c>
      <c r="DL54" s="423">
        <v>27685</v>
      </c>
      <c r="DM54" s="265">
        <v>27184</v>
      </c>
      <c r="DN54" s="265">
        <v>25673</v>
      </c>
      <c r="DO54" s="265">
        <v>24500</v>
      </c>
      <c r="DP54" s="265">
        <v>19124</v>
      </c>
      <c r="DQ54" s="266">
        <v>18974</v>
      </c>
      <c r="DS54" s="273"/>
      <c r="DT54" s="245"/>
      <c r="DU54" s="245"/>
      <c r="DV54" s="641"/>
      <c r="DW54" s="264">
        <v>-14283</v>
      </c>
      <c r="DX54" s="265">
        <v>7658</v>
      </c>
      <c r="DY54" s="265">
        <v>13325</v>
      </c>
      <c r="DZ54" s="265">
        <v>13767</v>
      </c>
      <c r="EA54" s="265">
        <v>26818</v>
      </c>
      <c r="EB54" s="265">
        <v>33263</v>
      </c>
      <c r="EC54" s="265">
        <v>33603</v>
      </c>
      <c r="ED54" s="265">
        <v>37793</v>
      </c>
      <c r="EE54" s="265">
        <v>41770</v>
      </c>
      <c r="EF54" s="426">
        <v>46033</v>
      </c>
    </row>
    <row r="55" spans="1:136" ht="23.1" customHeight="1">
      <c r="A55" s="358" t="s">
        <v>562</v>
      </c>
      <c r="B55" s="359"/>
      <c r="C55" s="92"/>
      <c r="D55" s="92"/>
      <c r="E55" s="92" t="s">
        <v>206</v>
      </c>
      <c r="F55" s="92" t="s">
        <v>206</v>
      </c>
      <c r="G55" s="92"/>
      <c r="H55" s="92" t="s">
        <v>206</v>
      </c>
      <c r="I55" s="92" t="s">
        <v>206</v>
      </c>
      <c r="J55" s="92" t="s">
        <v>206</v>
      </c>
      <c r="K55" s="92" t="s">
        <v>206</v>
      </c>
      <c r="L55" s="92" t="s">
        <v>206</v>
      </c>
      <c r="M55" s="92" t="s">
        <v>206</v>
      </c>
      <c r="N55" s="92" t="s">
        <v>206</v>
      </c>
      <c r="O55" s="92" t="s">
        <v>206</v>
      </c>
      <c r="P55" s="92" t="s">
        <v>206</v>
      </c>
      <c r="Q55" s="92" t="s">
        <v>206</v>
      </c>
      <c r="R55" s="92" t="s">
        <v>206</v>
      </c>
      <c r="S55" s="92" t="s">
        <v>206</v>
      </c>
      <c r="T55" s="92" t="s">
        <v>206</v>
      </c>
      <c r="U55" s="92" t="s">
        <v>206</v>
      </c>
      <c r="V55" s="92" t="s">
        <v>206</v>
      </c>
      <c r="W55" s="92" t="s">
        <v>206</v>
      </c>
      <c r="X55" s="92" t="s">
        <v>206</v>
      </c>
      <c r="Y55" s="92" t="s">
        <v>206</v>
      </c>
      <c r="Z55" s="92" t="s">
        <v>206</v>
      </c>
      <c r="AA55" s="92" t="s">
        <v>206</v>
      </c>
      <c r="AB55" s="92" t="s">
        <v>206</v>
      </c>
      <c r="AC55" s="92" t="s">
        <v>206</v>
      </c>
      <c r="AD55" s="92" t="s">
        <v>206</v>
      </c>
      <c r="AE55" s="92" t="s">
        <v>206</v>
      </c>
      <c r="AF55" s="92" t="s">
        <v>206</v>
      </c>
      <c r="AG55" s="92" t="s">
        <v>206</v>
      </c>
      <c r="AH55" s="270" t="s">
        <v>206</v>
      </c>
      <c r="AI55" s="358" t="s">
        <v>562</v>
      </c>
      <c r="AJ55" s="301" t="s">
        <v>206</v>
      </c>
      <c r="AK55" s="92" t="s">
        <v>206</v>
      </c>
      <c r="AL55" s="92" t="s">
        <v>206</v>
      </c>
      <c r="AM55" s="92" t="s">
        <v>206</v>
      </c>
      <c r="AN55" s="92" t="s">
        <v>206</v>
      </c>
      <c r="AO55" s="92" t="s">
        <v>206</v>
      </c>
      <c r="AP55" s="92" t="s">
        <v>206</v>
      </c>
      <c r="AQ55" s="92" t="s">
        <v>206</v>
      </c>
      <c r="AR55" s="92" t="s">
        <v>206</v>
      </c>
      <c r="AS55" s="92" t="s">
        <v>206</v>
      </c>
      <c r="AT55" s="92" t="s">
        <v>206</v>
      </c>
      <c r="AU55" s="92" t="s">
        <v>206</v>
      </c>
      <c r="AV55" s="92" t="s">
        <v>206</v>
      </c>
      <c r="AW55" s="92" t="s">
        <v>206</v>
      </c>
      <c r="AX55" s="92" t="s">
        <v>206</v>
      </c>
      <c r="AY55" s="92" t="s">
        <v>206</v>
      </c>
      <c r="AZ55" s="92" t="s">
        <v>206</v>
      </c>
      <c r="BA55" s="92" t="s">
        <v>206</v>
      </c>
      <c r="BB55" s="92" t="s">
        <v>206</v>
      </c>
      <c r="BC55" s="92" t="s">
        <v>206</v>
      </c>
      <c r="BD55" s="92" t="s">
        <v>206</v>
      </c>
      <c r="BE55" s="92"/>
      <c r="BF55" s="92">
        <v>8575.5557680000002</v>
      </c>
      <c r="BG55" s="92"/>
      <c r="BH55" s="92">
        <v>6311.4835370000001</v>
      </c>
      <c r="BI55" s="92"/>
      <c r="BJ55" s="92">
        <v>6438.6221809999997</v>
      </c>
      <c r="BK55" s="92"/>
      <c r="BL55" s="92">
        <v>2926.9489859999999</v>
      </c>
      <c r="BM55" s="92"/>
      <c r="BN55" s="92">
        <v>3199.7775959999999</v>
      </c>
      <c r="BO55" s="92"/>
      <c r="BP55" s="270">
        <v>3021.778354</v>
      </c>
      <c r="BQ55" s="358" t="s">
        <v>562</v>
      </c>
      <c r="BR55" s="301"/>
      <c r="BS55" s="92">
        <v>4047.6599460000002</v>
      </c>
      <c r="BT55" s="92"/>
      <c r="BU55" s="92">
        <v>5759</v>
      </c>
      <c r="BV55" s="92"/>
      <c r="BW55" s="92">
        <v>5211</v>
      </c>
      <c r="BX55" s="92"/>
      <c r="BY55" s="92">
        <v>4675</v>
      </c>
      <c r="BZ55" s="92"/>
      <c r="CA55" s="92">
        <v>3827</v>
      </c>
      <c r="CB55" s="92"/>
      <c r="CC55" s="92">
        <v>3469</v>
      </c>
      <c r="CD55" s="92"/>
      <c r="CE55" s="92">
        <v>3618</v>
      </c>
      <c r="CF55" s="92"/>
      <c r="CG55" s="92">
        <v>3754</v>
      </c>
      <c r="CH55" s="92"/>
      <c r="CI55" s="92">
        <v>4555</v>
      </c>
      <c r="CJ55" s="92"/>
      <c r="CK55" s="92">
        <v>5684</v>
      </c>
      <c r="CL55" s="92"/>
      <c r="CM55" s="92">
        <v>6954</v>
      </c>
      <c r="CN55" s="92"/>
      <c r="CO55" s="92">
        <v>10966.351049000001</v>
      </c>
      <c r="CP55" s="92"/>
      <c r="CQ55" s="269">
        <v>13296.272706</v>
      </c>
      <c r="CR55" s="92"/>
      <c r="CS55" s="269">
        <v>13374</v>
      </c>
      <c r="CT55" s="92"/>
      <c r="CU55" s="407">
        <v>130193</v>
      </c>
      <c r="CV55" s="92"/>
      <c r="CW55" s="269">
        <v>97504</v>
      </c>
      <c r="CX55" s="92"/>
      <c r="CY55" s="270">
        <v>8953</v>
      </c>
      <c r="CZ55" s="351"/>
      <c r="DA55" s="351"/>
      <c r="DB55" s="351"/>
      <c r="DC55" s="351"/>
      <c r="DD55" s="244"/>
      <c r="DE55" s="245"/>
      <c r="DF55" s="245"/>
      <c r="DG55" s="642" t="s">
        <v>521</v>
      </c>
      <c r="DH55" s="253" t="s">
        <v>504</v>
      </c>
      <c r="DI55" s="254" t="s">
        <v>516</v>
      </c>
      <c r="DJ55" s="254" t="s">
        <v>515</v>
      </c>
      <c r="DK55" s="254" t="s">
        <v>512</v>
      </c>
      <c r="DL55" s="422" t="s">
        <v>518</v>
      </c>
      <c r="DM55" s="254" t="s">
        <v>503</v>
      </c>
      <c r="DN55" s="254" t="s">
        <v>513</v>
      </c>
      <c r="DO55" s="254" t="s">
        <v>514</v>
      </c>
      <c r="DP55" s="254" t="s">
        <v>511</v>
      </c>
      <c r="DQ55" s="255" t="s">
        <v>505</v>
      </c>
      <c r="DS55" s="244"/>
      <c r="DT55" s="245"/>
      <c r="DU55" s="245"/>
      <c r="DV55" s="636" t="s">
        <v>521</v>
      </c>
      <c r="DW55" s="253" t="s">
        <v>515</v>
      </c>
      <c r="DX55" s="254" t="s">
        <v>514</v>
      </c>
      <c r="DY55" s="254" t="s">
        <v>498</v>
      </c>
      <c r="DZ55" s="254" t="s">
        <v>497</v>
      </c>
      <c r="EA55" s="254" t="s">
        <v>516</v>
      </c>
      <c r="EB55" s="254" t="s">
        <v>502</v>
      </c>
      <c r="EC55" s="422" t="s">
        <v>518</v>
      </c>
      <c r="ED55" s="254" t="s">
        <v>499</v>
      </c>
      <c r="EE55" s="254" t="s">
        <v>512</v>
      </c>
      <c r="EF55" s="255" t="s">
        <v>517</v>
      </c>
    </row>
    <row r="56" spans="1:136" ht="23.1" customHeight="1" thickBot="1">
      <c r="A56" s="362" t="s">
        <v>101</v>
      </c>
      <c r="B56" s="359">
        <f t="shared" ref="B56:BC56" si="83">B51+B54</f>
        <v>1.5</v>
      </c>
      <c r="C56" s="92">
        <f t="shared" si="83"/>
        <v>1.5</v>
      </c>
      <c r="D56" s="92">
        <f t="shared" si="83"/>
        <v>8.1144379499999992</v>
      </c>
      <c r="E56" s="92">
        <f t="shared" si="83"/>
        <v>13.966441</v>
      </c>
      <c r="F56" s="92">
        <f t="shared" si="83"/>
        <v>33.417430000000003</v>
      </c>
      <c r="G56" s="92">
        <f t="shared" si="83"/>
        <v>40.466356439999998</v>
      </c>
      <c r="H56" s="92">
        <f t="shared" si="83"/>
        <v>79.206653000000003</v>
      </c>
      <c r="I56" s="92">
        <f t="shared" si="83"/>
        <v>100.99529200000001</v>
      </c>
      <c r="J56" s="92">
        <f t="shared" si="83"/>
        <v>211.01852099999999</v>
      </c>
      <c r="K56" s="92">
        <f t="shared" si="83"/>
        <v>360.76094499999999</v>
      </c>
      <c r="L56" s="92">
        <f t="shared" si="83"/>
        <v>521.96559200000002</v>
      </c>
      <c r="M56" s="92">
        <f t="shared" si="83"/>
        <v>727.30419400000005</v>
      </c>
      <c r="N56" s="92">
        <f t="shared" si="83"/>
        <v>995.87833000000001</v>
      </c>
      <c r="O56" s="92">
        <f t="shared" si="83"/>
        <v>1563.0991370000002</v>
      </c>
      <c r="P56" s="92">
        <f t="shared" si="83"/>
        <v>1507.3589589999999</v>
      </c>
      <c r="Q56" s="92">
        <f t="shared" si="83"/>
        <v>3250.783492</v>
      </c>
      <c r="R56" s="92">
        <f t="shared" si="83"/>
        <v>4990.3273179999997</v>
      </c>
      <c r="S56" s="92">
        <f t="shared" si="83"/>
        <v>6820.4974400000001</v>
      </c>
      <c r="T56" s="92">
        <f t="shared" si="83"/>
        <v>6917.9419340000004</v>
      </c>
      <c r="U56" s="92">
        <f t="shared" si="83"/>
        <v>7651.408711</v>
      </c>
      <c r="V56" s="92">
        <f t="shared" si="83"/>
        <v>8443.727954</v>
      </c>
      <c r="W56" s="92">
        <f t="shared" si="83"/>
        <v>9272.4631630000003</v>
      </c>
      <c r="X56" s="92">
        <f t="shared" si="83"/>
        <v>10207.046990999999</v>
      </c>
      <c r="Y56" s="92">
        <f t="shared" si="83"/>
        <v>13256.615969999999</v>
      </c>
      <c r="Z56" s="92">
        <f t="shared" si="83"/>
        <v>15552.343940999999</v>
      </c>
      <c r="AA56" s="92">
        <f t="shared" si="83"/>
        <v>23080.804582999997</v>
      </c>
      <c r="AB56" s="92">
        <f t="shared" si="83"/>
        <v>33735.523407000001</v>
      </c>
      <c r="AC56" s="92">
        <f t="shared" si="83"/>
        <v>36683.948285999999</v>
      </c>
      <c r="AD56" s="92">
        <f t="shared" si="83"/>
        <v>38857.457836000001</v>
      </c>
      <c r="AE56" s="92">
        <f t="shared" si="83"/>
        <v>44454.474715999997</v>
      </c>
      <c r="AF56" s="92">
        <f t="shared" si="83"/>
        <v>49033.190107999995</v>
      </c>
      <c r="AG56" s="92">
        <f t="shared" si="83"/>
        <v>53029.793951999993</v>
      </c>
      <c r="AH56" s="270">
        <f t="shared" si="83"/>
        <v>57410.862937999998</v>
      </c>
      <c r="AI56" s="362" t="s">
        <v>101</v>
      </c>
      <c r="AJ56" s="301">
        <f t="shared" si="83"/>
        <v>61818.824606999995</v>
      </c>
      <c r="AK56" s="92">
        <f t="shared" si="83"/>
        <v>66914.849411000003</v>
      </c>
      <c r="AL56" s="92">
        <f t="shared" si="83"/>
        <v>76974.481537000014</v>
      </c>
      <c r="AM56" s="92">
        <f t="shared" si="83"/>
        <v>83423.216</v>
      </c>
      <c r="AN56" s="92">
        <f t="shared" si="83"/>
        <v>89864.091</v>
      </c>
      <c r="AO56" s="92">
        <f t="shared" si="83"/>
        <v>96933.57289000001</v>
      </c>
      <c r="AP56" s="92">
        <f t="shared" si="83"/>
        <v>103580.94152699997</v>
      </c>
      <c r="AQ56" s="92">
        <f t="shared" si="83"/>
        <v>107330.11102300002</v>
      </c>
      <c r="AR56" s="92">
        <f t="shared" si="83"/>
        <v>111598.01963699999</v>
      </c>
      <c r="AS56" s="92">
        <f t="shared" si="83"/>
        <v>111370.71111800001</v>
      </c>
      <c r="AT56" s="92">
        <f t="shared" si="83"/>
        <v>117579.61279799999</v>
      </c>
      <c r="AU56" s="92">
        <f t="shared" si="83"/>
        <v>132258.17626400001</v>
      </c>
      <c r="AV56" s="92">
        <f t="shared" si="83"/>
        <v>142299.71270899998</v>
      </c>
      <c r="AW56" s="92">
        <f t="shared" si="83"/>
        <v>146369.388114</v>
      </c>
      <c r="AX56" s="92">
        <f t="shared" si="83"/>
        <v>148471.711071</v>
      </c>
      <c r="AY56" s="92">
        <f t="shared" si="83"/>
        <v>152736.81016300002</v>
      </c>
      <c r="AZ56" s="92">
        <f t="shared" si="83"/>
        <v>155936.78055699999</v>
      </c>
      <c r="BA56" s="92">
        <f t="shared" si="83"/>
        <v>160270.73590979999</v>
      </c>
      <c r="BB56" s="92">
        <f t="shared" si="83"/>
        <v>166909.76857299998</v>
      </c>
      <c r="BC56" s="92">
        <f t="shared" si="83"/>
        <v>167092.491783</v>
      </c>
      <c r="BD56" s="92">
        <f>BD51+BD54</f>
        <v>199224.517918</v>
      </c>
      <c r="BE56" s="92">
        <f>BE51+BE54+BE55</f>
        <v>148701.332054</v>
      </c>
      <c r="BF56" s="92">
        <f>BF51+BF54+BF55</f>
        <v>169550.71571599998</v>
      </c>
      <c r="BG56" s="92">
        <f>BG51+BG54+BG55</f>
        <v>163789.980182</v>
      </c>
      <c r="BH56" s="92">
        <f>BH51+BH54+BH55</f>
        <v>181604.17121099998</v>
      </c>
      <c r="BI56" s="92">
        <f>BI51+BI54+BI55+1</f>
        <v>157964.71547199998</v>
      </c>
      <c r="BJ56" s="92">
        <f t="shared" ref="BJ56:BO56" si="84">BJ51+BJ54+BJ55</f>
        <v>176470.20085699999</v>
      </c>
      <c r="BK56" s="92">
        <f t="shared" si="84"/>
        <v>145826.21832499999</v>
      </c>
      <c r="BL56" s="92">
        <f t="shared" si="84"/>
        <v>164539.09876599998</v>
      </c>
      <c r="BM56" s="92">
        <f t="shared" si="84"/>
        <v>153063.26713699999</v>
      </c>
      <c r="BN56" s="92">
        <f t="shared" si="84"/>
        <v>173160.33052199997</v>
      </c>
      <c r="BO56" s="92">
        <f t="shared" si="84"/>
        <v>153620.28937700001</v>
      </c>
      <c r="BP56" s="270">
        <f>BP51+BP54+BP55+1</f>
        <v>173571.75659900001</v>
      </c>
      <c r="BQ56" s="362" t="s">
        <v>101</v>
      </c>
      <c r="BR56" s="301">
        <f>BR51+BR54+BR55+1</f>
        <v>164783.57331799998</v>
      </c>
      <c r="BS56" s="92">
        <f>BS51+BS54+BS55+1</f>
        <v>189147.77887200002</v>
      </c>
      <c r="BT56" s="92">
        <f>BT51+BT54+BT55+1</f>
        <v>168231.566777</v>
      </c>
      <c r="BU56" s="92">
        <f>BU51+BU54+BU55</f>
        <v>196394</v>
      </c>
      <c r="BV56" s="92">
        <f>BV51+BV54+BV55+1</f>
        <v>107367.247691</v>
      </c>
      <c r="BW56" s="92">
        <f>BW51+BW54+BW55+2</f>
        <v>134484</v>
      </c>
      <c r="BX56" s="92">
        <f>BX51+BX54+BX55</f>
        <v>95419.767001</v>
      </c>
      <c r="BY56" s="92">
        <f t="shared" ref="BY56:CE56" si="85">BY51+BY54+BY55+1</f>
        <v>122456</v>
      </c>
      <c r="BZ56" s="92">
        <f t="shared" si="85"/>
        <v>99943.160722000001</v>
      </c>
      <c r="CA56" s="92">
        <f t="shared" si="85"/>
        <v>126273</v>
      </c>
      <c r="CB56" s="92">
        <f t="shared" si="85"/>
        <v>92481</v>
      </c>
      <c r="CC56" s="92">
        <f t="shared" si="85"/>
        <v>118438</v>
      </c>
      <c r="CD56" s="92">
        <f t="shared" si="85"/>
        <v>93288</v>
      </c>
      <c r="CE56" s="92">
        <f t="shared" si="85"/>
        <v>121158</v>
      </c>
      <c r="CF56" s="92">
        <f>CF51+CF54+CF55</f>
        <v>89996</v>
      </c>
      <c r="CG56" s="92">
        <f>CG51+CG54+CG55</f>
        <v>121557</v>
      </c>
      <c r="CH56" s="92">
        <f t="shared" ref="CH56:CM56" si="86">CH51+CH54+CH55+1</f>
        <v>100115</v>
      </c>
      <c r="CI56" s="92">
        <f t="shared" si="86"/>
        <v>128904</v>
      </c>
      <c r="CJ56" s="92">
        <f t="shared" si="86"/>
        <v>118808</v>
      </c>
      <c r="CK56" s="92">
        <f t="shared" si="86"/>
        <v>158477</v>
      </c>
      <c r="CL56" s="92">
        <f t="shared" si="86"/>
        <v>125355</v>
      </c>
      <c r="CM56" s="92">
        <f t="shared" si="86"/>
        <v>164074</v>
      </c>
      <c r="CN56" s="92">
        <f>CN51+CN54+CN55</f>
        <v>151184.05089899999</v>
      </c>
      <c r="CO56" s="92">
        <f>CO51+CO54+CO55</f>
        <v>201511.04167999999</v>
      </c>
      <c r="CP56" s="92">
        <f>CP51+CP54+CP55</f>
        <v>173618.19497000001</v>
      </c>
      <c r="CQ56" s="269">
        <f>CQ51+CQ54+CQ55</f>
        <v>234390.134506</v>
      </c>
      <c r="CR56" s="92">
        <f>CR51+CR54+CR55+1</f>
        <v>190072.34930900001</v>
      </c>
      <c r="CS56" s="269">
        <f>CS51+CS54+CS55+1</f>
        <v>252582</v>
      </c>
      <c r="CT56" s="92">
        <f>CT51+CT54+CT55+1</f>
        <v>187749.34930900001</v>
      </c>
      <c r="CU56" s="269">
        <f>CU51+CU54+CU55+2</f>
        <v>358587</v>
      </c>
      <c r="CV56" s="92">
        <f>CV51+CV54+CV55</f>
        <v>233276.34930900001</v>
      </c>
      <c r="CW56" s="269">
        <f>CW51+CW54+CW55</f>
        <v>367527</v>
      </c>
      <c r="CX56" s="92">
        <f>CX51+CX54+CX55+1</f>
        <v>245315.34930900001</v>
      </c>
      <c r="CY56" s="270">
        <f>CY51+CY54+CY55+1</f>
        <v>355865</v>
      </c>
      <c r="CZ56" s="351"/>
      <c r="DA56" s="351"/>
      <c r="DB56" s="351"/>
      <c r="DC56" s="351"/>
      <c r="DD56" s="244"/>
      <c r="DE56" s="245"/>
      <c r="DF56" s="245"/>
      <c r="DG56" s="643"/>
      <c r="DH56" s="264">
        <v>33758</v>
      </c>
      <c r="DI56" s="265">
        <v>33091</v>
      </c>
      <c r="DJ56" s="265">
        <v>32552</v>
      </c>
      <c r="DK56" s="265">
        <v>31541</v>
      </c>
      <c r="DL56" s="423">
        <v>29218</v>
      </c>
      <c r="DM56" s="265">
        <v>28280</v>
      </c>
      <c r="DN56" s="265">
        <v>26348</v>
      </c>
      <c r="DO56" s="265">
        <v>25651</v>
      </c>
      <c r="DP56" s="265">
        <v>19876</v>
      </c>
      <c r="DQ56" s="266">
        <v>19507</v>
      </c>
      <c r="DS56" s="244"/>
      <c r="DT56" s="245"/>
      <c r="DU56" s="245"/>
      <c r="DV56" s="641"/>
      <c r="DW56" s="264">
        <v>-11026</v>
      </c>
      <c r="DX56" s="265">
        <v>26038</v>
      </c>
      <c r="DY56" s="265">
        <v>30921</v>
      </c>
      <c r="DZ56" s="265">
        <v>33565</v>
      </c>
      <c r="EA56" s="265">
        <v>41458</v>
      </c>
      <c r="EB56" s="265">
        <v>41875</v>
      </c>
      <c r="EC56" s="423">
        <v>49061</v>
      </c>
      <c r="ED56" s="265">
        <v>52279</v>
      </c>
      <c r="EE56" s="265">
        <v>53634</v>
      </c>
      <c r="EF56" s="266">
        <v>59019</v>
      </c>
    </row>
    <row r="57" spans="1:136" ht="23.1" customHeight="1" thickBot="1">
      <c r="A57" s="362" t="s">
        <v>563</v>
      </c>
      <c r="B57" s="363">
        <v>1.5</v>
      </c>
      <c r="C57" s="91">
        <v>1.5</v>
      </c>
      <c r="D57" s="91">
        <v>40.14034264</v>
      </c>
      <c r="E57" s="91">
        <v>95.739125999999999</v>
      </c>
      <c r="F57" s="91">
        <v>180.025139</v>
      </c>
      <c r="G57" s="91">
        <v>439.12873858</v>
      </c>
      <c r="H57" s="91">
        <v>996.06530699999996</v>
      </c>
      <c r="I57" s="91">
        <v>2882.4520040000002</v>
      </c>
      <c r="J57" s="91">
        <v>2855.7673570000002</v>
      </c>
      <c r="K57" s="91">
        <v>3350.3201089999998</v>
      </c>
      <c r="L57" s="91">
        <v>4314.4845539999997</v>
      </c>
      <c r="M57" s="91">
        <v>7481.8813140000002</v>
      </c>
      <c r="N57" s="91">
        <v>11717.358045999999</v>
      </c>
      <c r="O57" s="91">
        <v>12665.872598</v>
      </c>
      <c r="P57" s="91">
        <v>13809.836292</v>
      </c>
      <c r="Q57" s="91">
        <v>15363.393214</v>
      </c>
      <c r="R57" s="91">
        <v>18651.450451000001</v>
      </c>
      <c r="S57" s="91">
        <v>26079.420931000001</v>
      </c>
      <c r="T57" s="91">
        <v>27343.674145000001</v>
      </c>
      <c r="U57" s="91">
        <v>28745.513943999998</v>
      </c>
      <c r="V57" s="91">
        <v>34912.698194999997</v>
      </c>
      <c r="W57" s="91">
        <v>45820.942058000001</v>
      </c>
      <c r="X57" s="91">
        <v>53993.332229</v>
      </c>
      <c r="Y57" s="91">
        <v>62374.091097999997</v>
      </c>
      <c r="Z57" s="91">
        <v>73691.560989000005</v>
      </c>
      <c r="AA57" s="91">
        <v>85370.110631000003</v>
      </c>
      <c r="AB57" s="91">
        <v>110648.27162699999</v>
      </c>
      <c r="AC57" s="91">
        <v>136348.37887300001</v>
      </c>
      <c r="AD57" s="91">
        <v>161648.740349</v>
      </c>
      <c r="AE57" s="91">
        <v>166750.35205700001</v>
      </c>
      <c r="AF57" s="91">
        <v>174770.622271</v>
      </c>
      <c r="AG57" s="91">
        <v>193547.06473000001</v>
      </c>
      <c r="AH57" s="364">
        <v>239189.199673</v>
      </c>
      <c r="AI57" s="362" t="s">
        <v>563</v>
      </c>
      <c r="AJ57" s="365">
        <v>264050.22011240001</v>
      </c>
      <c r="AK57" s="91">
        <v>290077.11953999999</v>
      </c>
      <c r="AL57" s="91">
        <v>339067.83643099997</v>
      </c>
      <c r="AM57" s="91">
        <v>367452.21299999999</v>
      </c>
      <c r="AN57" s="91">
        <v>391390.31400000001</v>
      </c>
      <c r="AO57" s="91">
        <v>410218.07</v>
      </c>
      <c r="AP57" s="91">
        <v>427977.96299999999</v>
      </c>
      <c r="AQ57" s="91">
        <v>412140.29499999998</v>
      </c>
      <c r="AR57" s="91">
        <v>425671.886</v>
      </c>
      <c r="AS57" s="91">
        <v>428985.027</v>
      </c>
      <c r="AT57" s="91">
        <v>446092.78600000002</v>
      </c>
      <c r="AU57" s="392">
        <v>486203.02290799998</v>
      </c>
      <c r="AV57" s="91">
        <v>542676.62698399997</v>
      </c>
      <c r="AW57" s="91">
        <v>593850.13415299996</v>
      </c>
      <c r="AX57" s="91">
        <v>710046.99506300001</v>
      </c>
      <c r="AY57" s="91">
        <v>728103.01778400003</v>
      </c>
      <c r="AZ57" s="91">
        <v>677070.68556699995</v>
      </c>
      <c r="BA57" s="91">
        <v>681219.69275699998</v>
      </c>
      <c r="BB57" s="91">
        <v>649434.77590699994</v>
      </c>
      <c r="BC57" s="91">
        <v>670090.73093900003</v>
      </c>
      <c r="BD57" s="91">
        <v>567305.93556899996</v>
      </c>
      <c r="BE57" s="91">
        <v>584228.67227800004</v>
      </c>
      <c r="BF57" s="92">
        <v>652672.08094999997</v>
      </c>
      <c r="BG57" s="92">
        <v>583519.56143200002</v>
      </c>
      <c r="BH57" s="92">
        <v>645756.90992799995</v>
      </c>
      <c r="BI57" s="91">
        <v>590677.57085500006</v>
      </c>
      <c r="BJ57" s="92">
        <v>654497.14168999996</v>
      </c>
      <c r="BK57" s="92">
        <v>588788.06502700003</v>
      </c>
      <c r="BL57" s="92">
        <v>648961.72576900001</v>
      </c>
      <c r="BM57" s="91">
        <v>539560.77057599998</v>
      </c>
      <c r="BN57" s="92">
        <v>595731.26539900003</v>
      </c>
      <c r="BO57" s="92">
        <v>537383.73025799997</v>
      </c>
      <c r="BP57" s="270">
        <v>593154.10896099999</v>
      </c>
      <c r="BQ57" s="362" t="s">
        <v>563</v>
      </c>
      <c r="BR57" s="365">
        <v>526060.50869799999</v>
      </c>
      <c r="BS57" s="92">
        <v>577782.81102699996</v>
      </c>
      <c r="BT57" s="92">
        <v>506324.41564600001</v>
      </c>
      <c r="BU57" s="92">
        <v>552927</v>
      </c>
      <c r="BV57" s="91">
        <v>401713.15461799997</v>
      </c>
      <c r="BW57" s="92">
        <v>453130</v>
      </c>
      <c r="BX57" s="92">
        <v>370599.313578</v>
      </c>
      <c r="BY57" s="92">
        <v>424439</v>
      </c>
      <c r="BZ57" s="91">
        <v>331682.32699999999</v>
      </c>
      <c r="CA57" s="92">
        <v>384985</v>
      </c>
      <c r="CB57" s="92">
        <v>303938</v>
      </c>
      <c r="CC57" s="92">
        <v>356104</v>
      </c>
      <c r="CD57" s="91">
        <v>317021</v>
      </c>
      <c r="CE57" s="92">
        <v>373949</v>
      </c>
      <c r="CF57" s="92">
        <v>341038</v>
      </c>
      <c r="CG57" s="92">
        <v>394633</v>
      </c>
      <c r="CH57" s="91">
        <v>351233</v>
      </c>
      <c r="CI57" s="92">
        <v>411396</v>
      </c>
      <c r="CJ57" s="92">
        <v>363270</v>
      </c>
      <c r="CK57" s="92">
        <v>428229</v>
      </c>
      <c r="CL57" s="92">
        <v>359401</v>
      </c>
      <c r="CM57" s="92">
        <v>445239</v>
      </c>
      <c r="CN57" s="92">
        <v>384268.304611</v>
      </c>
      <c r="CO57" s="92">
        <v>648601.15647599997</v>
      </c>
      <c r="CP57" s="92">
        <v>414867.20215999999</v>
      </c>
      <c r="CQ57" s="269">
        <v>685337.58853299997</v>
      </c>
      <c r="CR57" s="92">
        <v>455733</v>
      </c>
      <c r="CS57" s="269">
        <v>717630</v>
      </c>
      <c r="CT57" s="92">
        <v>519616</v>
      </c>
      <c r="CU57" s="407">
        <v>942925</v>
      </c>
      <c r="CV57" s="92">
        <v>555436</v>
      </c>
      <c r="CW57" s="269">
        <v>928889</v>
      </c>
      <c r="CX57" s="92">
        <v>482408</v>
      </c>
      <c r="CY57" s="270">
        <v>926432</v>
      </c>
      <c r="CZ57" s="351"/>
      <c r="DA57" s="351"/>
      <c r="DB57" s="351"/>
      <c r="DC57" s="351"/>
      <c r="DD57" s="273"/>
      <c r="DS57" s="273"/>
    </row>
    <row r="58" spans="1:136" ht="23.1" customHeight="1">
      <c r="A58" s="362" t="s">
        <v>564</v>
      </c>
      <c r="B58" s="366">
        <f t="shared" ref="B58:BC58" si="87">B56/B57</f>
        <v>1</v>
      </c>
      <c r="C58" s="367">
        <f t="shared" si="87"/>
        <v>1</v>
      </c>
      <c r="D58" s="367">
        <f t="shared" si="87"/>
        <v>0.20215168621689672</v>
      </c>
      <c r="E58" s="367">
        <f t="shared" si="87"/>
        <v>0.14588018069018094</v>
      </c>
      <c r="F58" s="367">
        <f t="shared" si="87"/>
        <v>0.18562646409066239</v>
      </c>
      <c r="G58" s="367">
        <f>G56/G57</f>
        <v>9.215146467264948E-2</v>
      </c>
      <c r="H58" s="367">
        <f t="shared" si="87"/>
        <v>7.9519537969411483E-2</v>
      </c>
      <c r="I58" s="367">
        <f t="shared" si="87"/>
        <v>3.5037978727780403E-2</v>
      </c>
      <c r="J58" s="367">
        <f t="shared" si="87"/>
        <v>7.3892055836675768E-2</v>
      </c>
      <c r="K58" s="367">
        <f t="shared" si="87"/>
        <v>0.10767954501746986</v>
      </c>
      <c r="L58" s="367">
        <f t="shared" si="87"/>
        <v>0.12097982631924843</v>
      </c>
      <c r="M58" s="367">
        <f t="shared" si="87"/>
        <v>9.7208731798388431E-2</v>
      </c>
      <c r="N58" s="367">
        <f t="shared" si="87"/>
        <v>8.4991712815327594E-2</v>
      </c>
      <c r="O58" s="367">
        <f t="shared" si="87"/>
        <v>0.12341029999360809</v>
      </c>
      <c r="P58" s="367">
        <f t="shared" si="87"/>
        <v>0.10915110991382344</v>
      </c>
      <c r="Q58" s="367">
        <f t="shared" si="87"/>
        <v>0.21159280679203737</v>
      </c>
      <c r="R58" s="367">
        <f t="shared" si="87"/>
        <v>0.26755706378494776</v>
      </c>
      <c r="S58" s="367">
        <f t="shared" si="87"/>
        <v>0.26152794795733497</v>
      </c>
      <c r="T58" s="367">
        <f t="shared" si="87"/>
        <v>0.25299972115360359</v>
      </c>
      <c r="U58" s="367">
        <f t="shared" si="87"/>
        <v>0.26617748863025864</v>
      </c>
      <c r="V58" s="367">
        <f t="shared" si="87"/>
        <v>0.2418526321523114</v>
      </c>
      <c r="W58" s="367">
        <f t="shared" si="87"/>
        <v>0.20236299706066599</v>
      </c>
      <c r="X58" s="367">
        <f t="shared" si="87"/>
        <v>0.1890427311970525</v>
      </c>
      <c r="Y58" s="367">
        <f t="shared" si="87"/>
        <v>0.21253401431007093</v>
      </c>
      <c r="Z58" s="367">
        <f t="shared" si="87"/>
        <v>0.21104647170279794</v>
      </c>
      <c r="AA58" s="367">
        <f t="shared" si="87"/>
        <v>0.27036165717019445</v>
      </c>
      <c r="AB58" s="367">
        <f t="shared" si="87"/>
        <v>0.30488974577681499</v>
      </c>
      <c r="AC58" s="367">
        <f t="shared" si="87"/>
        <v>0.26904572382315456</v>
      </c>
      <c r="AD58" s="367">
        <f t="shared" si="87"/>
        <v>0.24038206392519151</v>
      </c>
      <c r="AE58" s="367">
        <f t="shared" si="87"/>
        <v>0.26659298866610004</v>
      </c>
      <c r="AF58" s="367">
        <f t="shared" si="87"/>
        <v>0.28055739271768992</v>
      </c>
      <c r="AG58" s="367">
        <f t="shared" si="87"/>
        <v>0.2739891407083701</v>
      </c>
      <c r="AH58" s="368">
        <f t="shared" si="87"/>
        <v>0.2400228062825891</v>
      </c>
      <c r="AI58" s="362" t="s">
        <v>564</v>
      </c>
      <c r="AJ58" s="369">
        <f t="shared" si="87"/>
        <v>0.23411767875325068</v>
      </c>
      <c r="AK58" s="367">
        <f t="shared" si="87"/>
        <v>0.23067951556162922</v>
      </c>
      <c r="AL58" s="367">
        <f t="shared" si="87"/>
        <v>0.22701793938117826</v>
      </c>
      <c r="AM58" s="367">
        <f t="shared" si="87"/>
        <v>0.2270314698036667</v>
      </c>
      <c r="AN58" s="367">
        <f t="shared" si="87"/>
        <v>0.22960223537877331</v>
      </c>
      <c r="AO58" s="367">
        <f t="shared" si="87"/>
        <v>0.23629766697015567</v>
      </c>
      <c r="AP58" s="367">
        <f t="shared" si="87"/>
        <v>0.24202400703281066</v>
      </c>
      <c r="AQ58" s="367">
        <f t="shared" si="87"/>
        <v>0.26042129907001699</v>
      </c>
      <c r="AR58" s="367">
        <f t="shared" si="87"/>
        <v>0.26216911031094026</v>
      </c>
      <c r="AS58" s="367">
        <f t="shared" si="87"/>
        <v>0.25961444831033698</v>
      </c>
      <c r="AT58" s="367">
        <f t="shared" si="87"/>
        <v>0.26357658426244979</v>
      </c>
      <c r="AU58" s="367">
        <f t="shared" si="87"/>
        <v>0.27202252975096392</v>
      </c>
      <c r="AV58" s="367">
        <f t="shared" si="87"/>
        <v>0.26221824496081619</v>
      </c>
      <c r="AW58" s="367">
        <f t="shared" si="87"/>
        <v>0.24647529687395725</v>
      </c>
      <c r="AX58" s="367">
        <f t="shared" si="87"/>
        <v>0.20910124555604467</v>
      </c>
      <c r="AY58" s="367">
        <f t="shared" si="87"/>
        <v>0.20977362602871549</v>
      </c>
      <c r="AZ58" s="367">
        <f t="shared" si="87"/>
        <v>0.23031093190279492</v>
      </c>
      <c r="BA58" s="367">
        <f t="shared" si="87"/>
        <v>0.23527026246284788</v>
      </c>
      <c r="BB58" s="367">
        <f t="shared" si="87"/>
        <v>0.257007746990287</v>
      </c>
      <c r="BC58" s="367">
        <f t="shared" si="87"/>
        <v>0.24935801089033544</v>
      </c>
      <c r="BD58" s="367">
        <f>BD56/BD57</f>
        <v>0.35117650887643292</v>
      </c>
      <c r="BE58" s="367">
        <f t="shared" ref="BE58:CP58" si="88">(BE56-BE55)/BE57</f>
        <v>0.25452590588234908</v>
      </c>
      <c r="BF58" s="367">
        <f t="shared" si="88"/>
        <v>0.2466401806458334</v>
      </c>
      <c r="BG58" s="367">
        <f t="shared" si="88"/>
        <v>0.28069321237500128</v>
      </c>
      <c r="BH58" s="367">
        <f t="shared" si="88"/>
        <v>0.27145305761194971</v>
      </c>
      <c r="BI58" s="367">
        <f t="shared" si="88"/>
        <v>0.26742968290356378</v>
      </c>
      <c r="BJ58" s="367">
        <f t="shared" si="88"/>
        <v>0.25978964283473488</v>
      </c>
      <c r="BK58" s="367">
        <f t="shared" si="88"/>
        <v>0.24767183132068557</v>
      </c>
      <c r="BL58" s="367">
        <f t="shared" si="88"/>
        <v>0.24903186638394501</v>
      </c>
      <c r="BM58" s="367">
        <f t="shared" si="88"/>
        <v>0.28368123756217412</v>
      </c>
      <c r="BN58" s="367">
        <f t="shared" si="88"/>
        <v>0.28529735267825218</v>
      </c>
      <c r="BO58" s="367">
        <f t="shared" si="88"/>
        <v>0.28586702709299799</v>
      </c>
      <c r="BP58" s="368">
        <f t="shared" si="88"/>
        <v>0.28753063608333479</v>
      </c>
      <c r="BQ58" s="362" t="s">
        <v>564</v>
      </c>
      <c r="BR58" s="369">
        <f>(BR56-BR55)/BR57</f>
        <v>0.31324072153950389</v>
      </c>
      <c r="BS58" s="367">
        <f t="shared" si="88"/>
        <v>0.32036279964263292</v>
      </c>
      <c r="BT58" s="367">
        <f t="shared" si="88"/>
        <v>0.33226042746202505</v>
      </c>
      <c r="BU58" s="367">
        <f t="shared" si="88"/>
        <v>0.34477426495721858</v>
      </c>
      <c r="BV58" s="367">
        <f t="shared" si="88"/>
        <v>0.26727341750383665</v>
      </c>
      <c r="BW58" s="367">
        <f t="shared" si="88"/>
        <v>0.28528898991459406</v>
      </c>
      <c r="BX58" s="367">
        <f t="shared" si="88"/>
        <v>0.25747421407707766</v>
      </c>
      <c r="BY58" s="367">
        <f t="shared" si="88"/>
        <v>0.27749806214791761</v>
      </c>
      <c r="BZ58" s="367">
        <f t="shared" si="88"/>
        <v>0.30132193543733793</v>
      </c>
      <c r="CA58" s="367">
        <f t="shared" si="88"/>
        <v>0.31805395015390209</v>
      </c>
      <c r="CB58" s="367">
        <f t="shared" si="88"/>
        <v>0.30427587205285289</v>
      </c>
      <c r="CC58" s="367">
        <f t="shared" si="88"/>
        <v>0.32285231280749443</v>
      </c>
      <c r="CD58" s="367">
        <f t="shared" si="88"/>
        <v>0.29426441781459273</v>
      </c>
      <c r="CE58" s="367">
        <f t="shared" si="88"/>
        <v>0.3143209368122391</v>
      </c>
      <c r="CF58" s="367">
        <f t="shared" si="88"/>
        <v>0.26388848163547757</v>
      </c>
      <c r="CG58" s="367">
        <f t="shared" si="88"/>
        <v>0.29851279543271853</v>
      </c>
      <c r="CH58" s="367">
        <f t="shared" si="88"/>
        <v>0.285038706499674</v>
      </c>
      <c r="CI58" s="367">
        <f t="shared" si="88"/>
        <v>0.30226108178008537</v>
      </c>
      <c r="CJ58" s="367">
        <f t="shared" si="88"/>
        <v>0.3270515043906736</v>
      </c>
      <c r="CK58" s="367">
        <f t="shared" si="88"/>
        <v>0.35680208486580778</v>
      </c>
      <c r="CL58" s="367">
        <f t="shared" si="88"/>
        <v>0.34878867894079313</v>
      </c>
      <c r="CM58" s="367">
        <f t="shared" si="88"/>
        <v>0.35288912247130194</v>
      </c>
      <c r="CN58" s="367">
        <f t="shared" ref="CN58:CO58" si="89">(CN56-CN55)/CN57</f>
        <v>0.39343356994287015</v>
      </c>
      <c r="CO58" s="367">
        <f t="shared" si="89"/>
        <v>0.29377790762241829</v>
      </c>
      <c r="CP58" s="367">
        <f t="shared" si="88"/>
        <v>0.41849101125868576</v>
      </c>
      <c r="CQ58" s="370">
        <f>(CQ56-CQ55)/CQ57</f>
        <v>0.32260577195723744</v>
      </c>
      <c r="CR58" s="367">
        <f t="shared" ref="CR58:CT58" si="90">(CR56-CR55)/CR57</f>
        <v>0.41706953261887997</v>
      </c>
      <c r="CS58" s="370">
        <f>(CS56-CS55)/CS57</f>
        <v>0.33333054638184023</v>
      </c>
      <c r="CT58" s="367">
        <f t="shared" si="90"/>
        <v>0.36132326431249234</v>
      </c>
      <c r="CU58" s="370">
        <f>(CU56-CU55)/CU57</f>
        <v>0.24221862820478829</v>
      </c>
      <c r="CV58" s="367">
        <f t="shared" ref="CV58:CX58" si="91">(CV56-CV55)/CV57</f>
        <v>0.41998781013294062</v>
      </c>
      <c r="CW58" s="370">
        <f>(CW56-CW55)/CW57</f>
        <v>0.29069458245280116</v>
      </c>
      <c r="CX58" s="367">
        <f t="shared" si="91"/>
        <v>0.50852255623662956</v>
      </c>
      <c r="CY58" s="368">
        <f>(CY56-CY55)/CY57</f>
        <v>0.37446029498117511</v>
      </c>
      <c r="CZ58" s="351"/>
      <c r="DA58" s="351"/>
      <c r="DB58" s="351"/>
      <c r="DC58" s="351"/>
      <c r="DD58" s="244" t="s">
        <v>565</v>
      </c>
      <c r="DE58" s="245"/>
      <c r="DF58" s="245"/>
      <c r="DG58" s="644" t="s">
        <v>520</v>
      </c>
      <c r="DH58" s="253" t="s">
        <v>499</v>
      </c>
      <c r="DI58" s="254" t="s">
        <v>500</v>
      </c>
      <c r="DJ58" s="254" t="s">
        <v>497</v>
      </c>
      <c r="DK58" s="254" t="s">
        <v>498</v>
      </c>
      <c r="DL58" s="422" t="s">
        <v>559</v>
      </c>
      <c r="DM58" s="254" t="s">
        <v>501</v>
      </c>
      <c r="DN58" s="254" t="s">
        <v>502</v>
      </c>
      <c r="DO58" s="254" t="s">
        <v>503</v>
      </c>
      <c r="DP58" s="254" t="s">
        <v>517</v>
      </c>
      <c r="DQ58" s="255" t="s">
        <v>504</v>
      </c>
      <c r="DS58" s="244" t="s">
        <v>566</v>
      </c>
      <c r="DT58" s="245"/>
      <c r="DU58" s="245"/>
      <c r="DV58" s="642" t="s">
        <v>520</v>
      </c>
      <c r="DW58" s="400" t="s">
        <v>519</v>
      </c>
      <c r="DX58" s="254" t="s">
        <v>515</v>
      </c>
      <c r="DY58" s="254" t="s">
        <v>516</v>
      </c>
      <c r="DZ58" s="254" t="s">
        <v>514</v>
      </c>
      <c r="EA58" s="254" t="s">
        <v>498</v>
      </c>
      <c r="EB58" s="254" t="s">
        <v>501</v>
      </c>
      <c r="EC58" s="254" t="s">
        <v>497</v>
      </c>
      <c r="ED58" s="254" t="s">
        <v>502</v>
      </c>
      <c r="EE58" s="254" t="s">
        <v>499</v>
      </c>
      <c r="EF58" s="427" t="s">
        <v>503</v>
      </c>
    </row>
    <row r="59" spans="1:136" ht="23.1" customHeight="1" thickBot="1">
      <c r="A59" s="371" t="s">
        <v>203</v>
      </c>
      <c r="B59" s="359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2"/>
      <c r="AC59" s="92"/>
      <c r="AD59" s="91"/>
      <c r="AE59" s="91"/>
      <c r="AF59" s="91"/>
      <c r="AG59" s="91"/>
      <c r="AH59" s="364"/>
      <c r="AI59" s="371" t="s">
        <v>203</v>
      </c>
      <c r="AJ59" s="365"/>
      <c r="AK59" s="91"/>
      <c r="AL59" s="91"/>
      <c r="AM59" s="91"/>
      <c r="AN59" s="91"/>
      <c r="AO59" s="91"/>
      <c r="AP59" s="92"/>
      <c r="AQ59" s="92"/>
      <c r="AR59" s="92"/>
      <c r="AS59" s="92"/>
      <c r="AT59" s="92"/>
      <c r="AU59" s="92"/>
      <c r="AV59" s="91"/>
      <c r="AW59" s="91"/>
      <c r="AX59" s="91"/>
      <c r="AY59" s="91"/>
      <c r="AZ59" s="91"/>
      <c r="BA59" s="91"/>
      <c r="BB59" s="91"/>
      <c r="BC59" s="91"/>
      <c r="BD59" s="91"/>
      <c r="BE59" s="91"/>
      <c r="BF59" s="91"/>
      <c r="BG59" s="91"/>
      <c r="BH59" s="91"/>
      <c r="BI59" s="91"/>
      <c r="BJ59" s="91"/>
      <c r="BK59" s="91"/>
      <c r="BL59" s="91"/>
      <c r="BM59" s="91"/>
      <c r="BN59" s="91"/>
      <c r="BO59" s="91"/>
      <c r="BP59" s="364"/>
      <c r="BQ59" s="371" t="s">
        <v>203</v>
      </c>
      <c r="BR59" s="365"/>
      <c r="BS59" s="91"/>
      <c r="BT59" s="91"/>
      <c r="BU59" s="91"/>
      <c r="BV59" s="91"/>
      <c r="BW59" s="91"/>
      <c r="BX59" s="91"/>
      <c r="BY59" s="91"/>
      <c r="BZ59" s="91"/>
      <c r="CA59" s="91"/>
      <c r="CB59" s="91"/>
      <c r="CC59" s="91"/>
      <c r="CD59" s="91"/>
      <c r="CE59" s="91"/>
      <c r="CF59" s="91"/>
      <c r="CG59" s="91"/>
      <c r="CH59" s="91"/>
      <c r="CI59" s="92"/>
      <c r="CJ59" s="92"/>
      <c r="CK59" s="92"/>
      <c r="CL59" s="92"/>
      <c r="CM59" s="92"/>
      <c r="CN59" s="92"/>
      <c r="CO59" s="92"/>
      <c r="CP59" s="372"/>
      <c r="CQ59" s="373"/>
      <c r="CR59" s="372"/>
      <c r="CS59" s="373"/>
      <c r="CT59" s="372"/>
      <c r="CU59" s="373"/>
      <c r="CV59" s="372"/>
      <c r="CW59" s="373"/>
      <c r="CX59" s="372"/>
      <c r="CY59" s="374"/>
      <c r="CZ59" s="351"/>
      <c r="DA59" s="351"/>
      <c r="DB59" s="351"/>
      <c r="DC59" s="351"/>
      <c r="DD59" s="273"/>
      <c r="DE59" s="245"/>
      <c r="DF59" s="245"/>
      <c r="DG59" s="645"/>
      <c r="DH59" s="264">
        <v>590678</v>
      </c>
      <c r="DI59" s="265">
        <v>588788</v>
      </c>
      <c r="DJ59" s="265">
        <v>584229</v>
      </c>
      <c r="DK59" s="265">
        <v>583520</v>
      </c>
      <c r="DL59" s="423">
        <v>555436</v>
      </c>
      <c r="DM59" s="265">
        <v>539561</v>
      </c>
      <c r="DN59" s="265">
        <v>537384</v>
      </c>
      <c r="DO59" s="265">
        <v>526061</v>
      </c>
      <c r="DP59" s="265">
        <v>519616</v>
      </c>
      <c r="DQ59" s="266">
        <v>506324</v>
      </c>
      <c r="DS59" s="375" t="s">
        <v>567</v>
      </c>
      <c r="DT59" s="245"/>
      <c r="DU59" s="245"/>
      <c r="DV59" s="643"/>
      <c r="DW59" s="405">
        <v>0.29799999999999999</v>
      </c>
      <c r="DX59" s="377">
        <v>0.32800000000000001</v>
      </c>
      <c r="DY59" s="377">
        <v>0.36799999999999999</v>
      </c>
      <c r="DZ59" s="377">
        <v>0.39700000000000002</v>
      </c>
      <c r="EA59" s="377">
        <v>0.44400000000000001</v>
      </c>
      <c r="EB59" s="377">
        <v>0.46899999999999997</v>
      </c>
      <c r="EC59" s="377">
        <v>0.5</v>
      </c>
      <c r="ED59" s="377">
        <v>0.51</v>
      </c>
      <c r="EE59" s="377">
        <v>0.51900000000000002</v>
      </c>
      <c r="EF59" s="428">
        <v>0.53100000000000003</v>
      </c>
    </row>
    <row r="60" spans="1:136" ht="23.1" customHeight="1">
      <c r="A60" s="371" t="s">
        <v>568</v>
      </c>
      <c r="B60" s="359">
        <v>0</v>
      </c>
      <c r="C60" s="92">
        <v>5.85</v>
      </c>
      <c r="D60" s="92">
        <v>11</v>
      </c>
      <c r="E60" s="92">
        <v>21</v>
      </c>
      <c r="F60" s="92">
        <v>37.7027</v>
      </c>
      <c r="G60" s="92">
        <v>44</v>
      </c>
      <c r="H60" s="92">
        <v>100</v>
      </c>
      <c r="I60" s="92">
        <v>225.44</v>
      </c>
      <c r="J60" s="92">
        <v>100</v>
      </c>
      <c r="K60" s="92">
        <v>200</v>
      </c>
      <c r="L60" s="92"/>
      <c r="M60" s="92">
        <v>200</v>
      </c>
      <c r="N60" s="92">
        <v>496.03899999999999</v>
      </c>
      <c r="O60" s="92">
        <v>466.65</v>
      </c>
      <c r="P60" s="92">
        <v>280</v>
      </c>
      <c r="Q60" s="92">
        <v>1100</v>
      </c>
      <c r="R60" s="92">
        <v>1100</v>
      </c>
      <c r="S60" s="92">
        <v>1000</v>
      </c>
      <c r="T60" s="92">
        <v>1205</v>
      </c>
      <c r="U60" s="92">
        <v>1565.8</v>
      </c>
      <c r="V60" s="92">
        <v>1619.8</v>
      </c>
      <c r="W60" s="92">
        <v>2952</v>
      </c>
      <c r="X60" s="92">
        <v>4250</v>
      </c>
      <c r="Y60" s="92">
        <v>4350</v>
      </c>
      <c r="Z60" s="92">
        <v>6850</v>
      </c>
      <c r="AA60" s="92">
        <v>6665.9292370000003</v>
      </c>
      <c r="AB60" s="92">
        <v>6836.08</v>
      </c>
      <c r="AC60" s="92">
        <v>11741.727465</v>
      </c>
      <c r="AD60" s="91">
        <v>12468.586224000001</v>
      </c>
      <c r="AE60" s="91">
        <v>12534.714378000001</v>
      </c>
      <c r="AF60" s="91">
        <v>9824.1888390000004</v>
      </c>
      <c r="AG60" s="91">
        <v>10029.314710000001</v>
      </c>
      <c r="AH60" s="364">
        <v>9241.1087289999996</v>
      </c>
      <c r="AI60" s="371" t="s">
        <v>568</v>
      </c>
      <c r="AJ60" s="365">
        <v>8807.7802919999995</v>
      </c>
      <c r="AK60" s="91">
        <v>8500.1990000000005</v>
      </c>
      <c r="AL60" s="91">
        <v>7399.835</v>
      </c>
      <c r="AM60" s="91">
        <v>6360.3029999999999</v>
      </c>
      <c r="AN60" s="91">
        <v>12149.59</v>
      </c>
      <c r="AO60" s="91">
        <v>9714.0550189999994</v>
      </c>
      <c r="AP60" s="92">
        <v>11063.321400000001</v>
      </c>
      <c r="AQ60" s="92">
        <v>9363.5021089999991</v>
      </c>
      <c r="AR60" s="92">
        <v>3369.9279750000001</v>
      </c>
      <c r="AS60" s="92">
        <v>3482.7809600000001</v>
      </c>
      <c r="AT60" s="92">
        <v>3904.68442</v>
      </c>
      <c r="AU60" s="92">
        <v>14697.293900999999</v>
      </c>
      <c r="AV60" s="91">
        <v>10283.214317</v>
      </c>
      <c r="AW60" s="91">
        <v>17067.565628</v>
      </c>
      <c r="AX60" s="91">
        <v>26079.616413</v>
      </c>
      <c r="AY60" s="91">
        <v>35394.912858000003</v>
      </c>
      <c r="AZ60" s="91">
        <v>36464.365654000001</v>
      </c>
      <c r="BA60" s="91">
        <v>34019.070654000003</v>
      </c>
      <c r="BB60" s="91">
        <v>28461.783011</v>
      </c>
      <c r="BC60" s="91">
        <v>18324.855615</v>
      </c>
      <c r="BD60" s="91">
        <v>24050</v>
      </c>
      <c r="BE60" s="91">
        <v>39590</v>
      </c>
      <c r="BF60" s="91">
        <v>59492</v>
      </c>
      <c r="BG60" s="91">
        <v>38320</v>
      </c>
      <c r="BH60" s="91">
        <v>54205</v>
      </c>
      <c r="BI60" s="91">
        <v>42704</v>
      </c>
      <c r="BJ60" s="91">
        <v>65640</v>
      </c>
      <c r="BK60" s="91">
        <v>37384</v>
      </c>
      <c r="BL60" s="91">
        <v>59347</v>
      </c>
      <c r="BM60" s="91">
        <v>29785</v>
      </c>
      <c r="BN60" s="91">
        <v>49896</v>
      </c>
      <c r="BO60" s="91">
        <v>28322</v>
      </c>
      <c r="BP60" s="364">
        <v>48983</v>
      </c>
      <c r="BQ60" s="371" t="s">
        <v>568</v>
      </c>
      <c r="BR60" s="365">
        <v>28549</v>
      </c>
      <c r="BS60" s="91">
        <v>43726</v>
      </c>
      <c r="BT60" s="91">
        <v>29331</v>
      </c>
      <c r="BU60" s="91">
        <v>35440</v>
      </c>
      <c r="BV60" s="91">
        <v>29742</v>
      </c>
      <c r="BW60" s="91">
        <v>39883</v>
      </c>
      <c r="BX60" s="91">
        <v>55636</v>
      </c>
      <c r="BY60" s="91">
        <v>64166</v>
      </c>
      <c r="BZ60" s="91">
        <v>49876</v>
      </c>
      <c r="CA60" s="91">
        <v>62856</v>
      </c>
      <c r="CB60" s="91">
        <v>20025</v>
      </c>
      <c r="CC60" s="91">
        <v>27327</v>
      </c>
      <c r="CD60" s="91">
        <v>30230</v>
      </c>
      <c r="CE60" s="91">
        <v>35830</v>
      </c>
      <c r="CF60" s="91">
        <v>9869</v>
      </c>
      <c r="CG60" s="91">
        <v>15369</v>
      </c>
      <c r="CH60" s="91">
        <v>21701</v>
      </c>
      <c r="CI60" s="92">
        <v>27201</v>
      </c>
      <c r="CJ60" s="92">
        <v>8588</v>
      </c>
      <c r="CK60" s="92">
        <v>14213</v>
      </c>
      <c r="CL60" s="92">
        <v>32896</v>
      </c>
      <c r="CM60" s="92">
        <v>40496</v>
      </c>
      <c r="CN60" s="92">
        <v>11000</v>
      </c>
      <c r="CO60" s="92">
        <v>18316.824000000001</v>
      </c>
      <c r="CP60" s="92">
        <v>10000</v>
      </c>
      <c r="CQ60" s="269">
        <v>17092.576000000001</v>
      </c>
      <c r="CR60" s="92">
        <v>18500</v>
      </c>
      <c r="CS60" s="269">
        <v>24605</v>
      </c>
      <c r="CT60" s="92">
        <v>99051</v>
      </c>
      <c r="CU60" s="269">
        <v>106880</v>
      </c>
      <c r="CV60" s="92">
        <v>14280</v>
      </c>
      <c r="CW60" s="269">
        <v>18315</v>
      </c>
      <c r="CX60" s="92">
        <v>73207</v>
      </c>
      <c r="CY60" s="270">
        <v>84492</v>
      </c>
      <c r="CZ60" s="351"/>
      <c r="DA60" s="351"/>
      <c r="DB60" s="351"/>
      <c r="DC60" s="351"/>
      <c r="DD60" s="244"/>
      <c r="DE60" s="245"/>
      <c r="DF60" s="245"/>
      <c r="DG60" s="644" t="s">
        <v>521</v>
      </c>
      <c r="DH60" s="424" t="s">
        <v>517</v>
      </c>
      <c r="DI60" s="422" t="s">
        <v>518</v>
      </c>
      <c r="DJ60" s="402" t="s">
        <v>519</v>
      </c>
      <c r="DK60" s="254" t="s">
        <v>516</v>
      </c>
      <c r="DL60" s="254" t="s">
        <v>515</v>
      </c>
      <c r="DM60" s="254" t="s">
        <v>499</v>
      </c>
      <c r="DN60" s="254" t="s">
        <v>497</v>
      </c>
      <c r="DO60" s="254" t="s">
        <v>500</v>
      </c>
      <c r="DP60" s="254" t="s">
        <v>514</v>
      </c>
      <c r="DQ60" s="255" t="s">
        <v>498</v>
      </c>
      <c r="DS60" s="245"/>
      <c r="DT60" s="245"/>
      <c r="DU60" s="245"/>
      <c r="DV60" s="642" t="s">
        <v>521</v>
      </c>
      <c r="DW60" s="253" t="s">
        <v>515</v>
      </c>
      <c r="DX60" s="254" t="s">
        <v>516</v>
      </c>
      <c r="DY60" s="254" t="s">
        <v>514</v>
      </c>
      <c r="DZ60" s="254" t="s">
        <v>512</v>
      </c>
      <c r="EA60" s="254" t="s">
        <v>498</v>
      </c>
      <c r="EB60" s="254" t="s">
        <v>504</v>
      </c>
      <c r="EC60" s="422" t="s">
        <v>518</v>
      </c>
      <c r="ED60" s="402" t="s">
        <v>519</v>
      </c>
      <c r="EE60" s="254" t="s">
        <v>501</v>
      </c>
      <c r="EF60" s="255" t="s">
        <v>503</v>
      </c>
    </row>
    <row r="61" spans="1:136" ht="23.1" customHeight="1" thickBot="1">
      <c r="A61" s="371" t="s">
        <v>569</v>
      </c>
      <c r="B61" s="359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1"/>
      <c r="AE61" s="91"/>
      <c r="AF61" s="91"/>
      <c r="AG61" s="91"/>
      <c r="AH61" s="364"/>
      <c r="AI61" s="371" t="s">
        <v>569</v>
      </c>
      <c r="AJ61" s="365"/>
      <c r="AK61" s="91"/>
      <c r="AL61" s="91"/>
      <c r="AM61" s="91"/>
      <c r="AN61" s="91"/>
      <c r="AO61" s="91"/>
      <c r="AP61" s="92"/>
      <c r="AQ61" s="92"/>
      <c r="AR61" s="92"/>
      <c r="AS61" s="92"/>
      <c r="AT61" s="92"/>
      <c r="AU61" s="92"/>
      <c r="AV61" s="91">
        <v>10000</v>
      </c>
      <c r="AW61" s="91">
        <v>18000</v>
      </c>
      <c r="AX61" s="91">
        <v>40000</v>
      </c>
      <c r="AY61" s="91">
        <v>40000</v>
      </c>
      <c r="AZ61" s="91">
        <v>35000</v>
      </c>
      <c r="BA61" s="91">
        <v>35000</v>
      </c>
      <c r="BB61" s="91">
        <v>28000</v>
      </c>
      <c r="BC61" s="91">
        <v>40000</v>
      </c>
      <c r="BD61" s="91">
        <v>20500</v>
      </c>
      <c r="BE61" s="91"/>
      <c r="BF61" s="91"/>
      <c r="BG61" s="91"/>
      <c r="BH61" s="91"/>
      <c r="BI61" s="91"/>
      <c r="BJ61" s="91"/>
      <c r="BK61" s="91">
        <v>9000</v>
      </c>
      <c r="BL61" s="91">
        <v>9000</v>
      </c>
      <c r="BM61" s="91"/>
      <c r="BN61" s="91"/>
      <c r="BO61" s="91"/>
      <c r="BP61" s="364"/>
      <c r="BQ61" s="371" t="s">
        <v>569</v>
      </c>
      <c r="BR61" s="365"/>
      <c r="BS61" s="91"/>
      <c r="BT61" s="91"/>
      <c r="BU61" s="91"/>
      <c r="BV61" s="91"/>
      <c r="BW61" s="91"/>
      <c r="BX61" s="91"/>
      <c r="BY61" s="91"/>
      <c r="BZ61" s="91"/>
      <c r="CA61" s="91"/>
      <c r="CB61" s="91"/>
      <c r="CC61" s="91"/>
      <c r="CD61" s="91"/>
      <c r="CE61" s="91"/>
      <c r="CF61" s="91"/>
      <c r="CG61" s="91"/>
      <c r="CH61" s="91"/>
      <c r="CI61" s="92"/>
      <c r="CJ61" s="92"/>
      <c r="CK61" s="92"/>
      <c r="CL61" s="92"/>
      <c r="CM61" s="92"/>
      <c r="CN61" s="92"/>
      <c r="CO61" s="92"/>
      <c r="CP61" s="92"/>
      <c r="CQ61" s="269"/>
      <c r="CR61" s="92"/>
      <c r="CS61" s="269"/>
      <c r="CT61" s="92"/>
      <c r="CU61" s="269"/>
      <c r="CV61" s="92"/>
      <c r="CW61" s="269"/>
      <c r="CX61" s="92"/>
      <c r="CY61" s="270"/>
      <c r="CZ61" s="351"/>
      <c r="DA61" s="351"/>
      <c r="DB61" s="351"/>
      <c r="DC61" s="351"/>
      <c r="DD61" s="244"/>
      <c r="DE61" s="245"/>
      <c r="DF61" s="245"/>
      <c r="DG61" s="645"/>
      <c r="DH61" s="425">
        <v>942925</v>
      </c>
      <c r="DI61" s="423">
        <v>928889</v>
      </c>
      <c r="DJ61" s="403">
        <v>926432</v>
      </c>
      <c r="DK61" s="265">
        <v>717630</v>
      </c>
      <c r="DL61" s="265">
        <v>685338</v>
      </c>
      <c r="DM61" s="265">
        <v>654497</v>
      </c>
      <c r="DN61" s="265">
        <v>652672</v>
      </c>
      <c r="DO61" s="265">
        <v>648962</v>
      </c>
      <c r="DP61" s="265">
        <v>648601</v>
      </c>
      <c r="DQ61" s="266">
        <v>645757</v>
      </c>
      <c r="DS61" s="245"/>
      <c r="DT61" s="245"/>
      <c r="DU61" s="245"/>
      <c r="DV61" s="643"/>
      <c r="DW61" s="376">
        <v>0.41399999999999998</v>
      </c>
      <c r="DX61" s="377">
        <v>0.41599999999999998</v>
      </c>
      <c r="DY61" s="377">
        <v>0.48699999999999999</v>
      </c>
      <c r="DZ61" s="377">
        <v>0.52300000000000002</v>
      </c>
      <c r="EA61" s="377">
        <v>0.54600000000000004</v>
      </c>
      <c r="EB61" s="377">
        <v>0.55300000000000005</v>
      </c>
      <c r="EC61" s="429">
        <v>0.55500000000000005</v>
      </c>
      <c r="ED61" s="411">
        <v>0.55800000000000005</v>
      </c>
      <c r="EE61" s="377">
        <v>0.57199999999999995</v>
      </c>
      <c r="EF61" s="378">
        <v>0.57299999999999995</v>
      </c>
    </row>
    <row r="62" spans="1:136" ht="23.1" customHeight="1" thickBot="1">
      <c r="A62" s="371" t="s">
        <v>570</v>
      </c>
      <c r="B62" s="359"/>
      <c r="C62" s="92"/>
      <c r="D62" s="92"/>
      <c r="E62" s="92"/>
      <c r="F62" s="92"/>
      <c r="G62" s="92"/>
      <c r="H62" s="92"/>
      <c r="I62" s="92"/>
      <c r="J62" s="92"/>
      <c r="K62" s="92"/>
      <c r="L62" s="92">
        <v>902.507611</v>
      </c>
      <c r="M62" s="92">
        <v>1166.503678</v>
      </c>
      <c r="N62" s="92"/>
      <c r="O62" s="92"/>
      <c r="P62" s="92"/>
      <c r="Q62" s="92">
        <v>5.42</v>
      </c>
      <c r="R62" s="92">
        <v>97.129097999999999</v>
      </c>
      <c r="S62" s="92">
        <v>244.097104</v>
      </c>
      <c r="T62" s="92">
        <v>234.71015199999999</v>
      </c>
      <c r="U62" s="92">
        <v>356.54860600000001</v>
      </c>
      <c r="V62" s="92">
        <v>212.43820700000001</v>
      </c>
      <c r="W62" s="92">
        <v>223.48609300000001</v>
      </c>
      <c r="X62" s="92">
        <v>648.624009</v>
      </c>
      <c r="Y62" s="92">
        <v>708.75423699999999</v>
      </c>
      <c r="Z62" s="92">
        <v>1835.5762219999999</v>
      </c>
      <c r="AA62" s="92">
        <v>1433.8013659999999</v>
      </c>
      <c r="AB62" s="92">
        <v>1000.3690329999999</v>
      </c>
      <c r="AC62" s="92">
        <v>3299.2764609999999</v>
      </c>
      <c r="AD62" s="91">
        <v>4027.5940249999999</v>
      </c>
      <c r="AE62" s="91">
        <v>1893.275308</v>
      </c>
      <c r="AF62" s="91">
        <v>1051.9496360000001</v>
      </c>
      <c r="AG62" s="91">
        <v>792.67090700000006</v>
      </c>
      <c r="AH62" s="364">
        <v>1417.583897</v>
      </c>
      <c r="AI62" s="371" t="s">
        <v>570</v>
      </c>
      <c r="AJ62" s="365">
        <v>241.82499999999999</v>
      </c>
      <c r="AK62" s="91">
        <v>337.70400000000001</v>
      </c>
      <c r="AL62" s="91">
        <v>234.31100000000001</v>
      </c>
      <c r="AM62" s="91">
        <v>172.852</v>
      </c>
      <c r="AN62" s="91">
        <v>153.149</v>
      </c>
      <c r="AO62" s="91">
        <v>133.67099999999999</v>
      </c>
      <c r="AP62" s="92">
        <v>116.498</v>
      </c>
      <c r="AQ62" s="92">
        <v>26.05</v>
      </c>
      <c r="AR62" s="92">
        <v>15.61</v>
      </c>
      <c r="AS62" s="92">
        <v>12.813635</v>
      </c>
      <c r="AT62" s="92">
        <v>1550.9659999999999</v>
      </c>
      <c r="AU62" s="92">
        <v>2826.7579999999998</v>
      </c>
      <c r="AV62" s="91">
        <v>8207.3179999999993</v>
      </c>
      <c r="AW62" s="91">
        <v>8207</v>
      </c>
      <c r="AX62" s="91">
        <v>8207</v>
      </c>
      <c r="AY62" s="91">
        <v>2775</v>
      </c>
      <c r="AZ62" s="91">
        <v>2559</v>
      </c>
      <c r="BA62" s="91">
        <v>2343</v>
      </c>
      <c r="BB62" s="91">
        <v>7421.5249999999996</v>
      </c>
      <c r="BC62" s="91">
        <v>6892.0249999999996</v>
      </c>
      <c r="BD62" s="91">
        <v>6555</v>
      </c>
      <c r="BE62" s="91">
        <v>1479</v>
      </c>
      <c r="BF62" s="91">
        <v>8322</v>
      </c>
      <c r="BG62" s="91">
        <v>8263</v>
      </c>
      <c r="BH62" s="91">
        <v>14212</v>
      </c>
      <c r="BI62" s="91">
        <v>8047</v>
      </c>
      <c r="BJ62" s="91">
        <v>9912</v>
      </c>
      <c r="BK62" s="91">
        <v>7000</v>
      </c>
      <c r="BL62" s="91">
        <v>11003</v>
      </c>
      <c r="BM62" s="91">
        <v>8000</v>
      </c>
      <c r="BN62" s="91">
        <v>13843</v>
      </c>
      <c r="BO62" s="91">
        <v>1000</v>
      </c>
      <c r="BP62" s="364">
        <v>4181</v>
      </c>
      <c r="BQ62" s="371" t="s">
        <v>570</v>
      </c>
      <c r="BR62" s="365">
        <v>10000</v>
      </c>
      <c r="BS62" s="91">
        <v>13866</v>
      </c>
      <c r="BT62" s="91">
        <v>10000</v>
      </c>
      <c r="BU62" s="91">
        <v>11951</v>
      </c>
      <c r="BV62" s="91">
        <v>20500</v>
      </c>
      <c r="BW62" s="91">
        <v>21212</v>
      </c>
      <c r="BX62" s="91">
        <v>17500</v>
      </c>
      <c r="BY62" s="91">
        <v>27932</v>
      </c>
      <c r="BZ62" s="91">
        <v>29930</v>
      </c>
      <c r="CA62" s="91">
        <v>30081</v>
      </c>
      <c r="CB62" s="91">
        <v>27594</v>
      </c>
      <c r="CC62" s="91">
        <v>32294</v>
      </c>
      <c r="CD62" s="91">
        <v>14350</v>
      </c>
      <c r="CE62" s="91">
        <v>19745</v>
      </c>
      <c r="CF62" s="91">
        <v>21850</v>
      </c>
      <c r="CG62" s="91">
        <v>26225</v>
      </c>
      <c r="CH62" s="91">
        <v>24000</v>
      </c>
      <c r="CI62" s="92">
        <v>27875</v>
      </c>
      <c r="CJ62" s="92">
        <v>30000</v>
      </c>
      <c r="CK62" s="92">
        <v>30639</v>
      </c>
      <c r="CL62" s="92">
        <v>27000</v>
      </c>
      <c r="CM62" s="92">
        <v>28702</v>
      </c>
      <c r="CN62" s="92">
        <v>24000</v>
      </c>
      <c r="CO62" s="92">
        <v>25933.173999999999</v>
      </c>
      <c r="CP62" s="92">
        <v>22000</v>
      </c>
      <c r="CQ62" s="269">
        <v>24230.364000000001</v>
      </c>
      <c r="CR62" s="92">
        <v>26443</v>
      </c>
      <c r="CS62" s="269">
        <v>28862</v>
      </c>
      <c r="CT62" s="92">
        <v>20127</v>
      </c>
      <c r="CU62" s="269">
        <v>22217</v>
      </c>
      <c r="CV62" s="92">
        <v>62711</v>
      </c>
      <c r="CW62" s="269">
        <v>64165</v>
      </c>
      <c r="CX62" s="299" t="s">
        <v>206</v>
      </c>
      <c r="CY62" s="270">
        <v>52851</v>
      </c>
      <c r="CZ62" s="351"/>
      <c r="DA62" s="351"/>
      <c r="DB62" s="351"/>
      <c r="DC62" s="351"/>
      <c r="DD62" s="263"/>
      <c r="DE62" s="351"/>
      <c r="DF62" s="351"/>
    </row>
    <row r="63" spans="1:136" ht="23.1" customHeight="1">
      <c r="A63" s="371" t="s">
        <v>571</v>
      </c>
      <c r="B63" s="359"/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1"/>
      <c r="AE63" s="91"/>
      <c r="AF63" s="91"/>
      <c r="AG63" s="91"/>
      <c r="AH63" s="364"/>
      <c r="AI63" s="371" t="s">
        <v>571</v>
      </c>
      <c r="AJ63" s="365"/>
      <c r="AK63" s="91"/>
      <c r="AL63" s="91"/>
      <c r="AM63" s="91"/>
      <c r="AN63" s="91"/>
      <c r="AO63" s="91"/>
      <c r="AP63" s="92"/>
      <c r="AQ63" s="92"/>
      <c r="AR63" s="92"/>
      <c r="AS63" s="92"/>
      <c r="AT63" s="92"/>
      <c r="AU63" s="92"/>
      <c r="AV63" s="91"/>
      <c r="AW63" s="91"/>
      <c r="AX63" s="91"/>
      <c r="AY63" s="91"/>
      <c r="AZ63" s="91"/>
      <c r="BA63" s="91"/>
      <c r="BB63" s="91"/>
      <c r="BC63" s="91"/>
      <c r="BD63" s="91"/>
      <c r="BE63" s="91"/>
      <c r="BF63" s="91"/>
      <c r="BG63" s="91"/>
      <c r="BH63" s="91"/>
      <c r="BI63" s="91"/>
      <c r="BJ63" s="91"/>
      <c r="BK63" s="91"/>
      <c r="BL63" s="91"/>
      <c r="BM63" s="91"/>
      <c r="BN63" s="91"/>
      <c r="BO63" s="91"/>
      <c r="BP63" s="364"/>
      <c r="BQ63" s="371" t="s">
        <v>571</v>
      </c>
      <c r="BR63" s="365"/>
      <c r="BS63" s="91"/>
      <c r="BT63" s="91"/>
      <c r="BU63" s="91"/>
      <c r="BV63" s="91"/>
      <c r="BW63" s="91"/>
      <c r="BX63" s="91"/>
      <c r="BY63" s="91"/>
      <c r="BZ63" s="91"/>
      <c r="CA63" s="91"/>
      <c r="CB63" s="91"/>
      <c r="CC63" s="91"/>
      <c r="CD63" s="91"/>
      <c r="CE63" s="91"/>
      <c r="CF63" s="91"/>
      <c r="CG63" s="91"/>
      <c r="CH63" s="91"/>
      <c r="CI63" s="92"/>
      <c r="CJ63" s="92"/>
      <c r="CK63" s="92"/>
      <c r="CL63" s="92"/>
      <c r="CM63" s="92">
        <v>12174</v>
      </c>
      <c r="CN63" s="92"/>
      <c r="CO63" s="92">
        <f>957.88448+22614.55552</f>
        <v>23572.440000000002</v>
      </c>
      <c r="CP63" s="92"/>
      <c r="CQ63" s="269">
        <f>2155.6876+22950.86792</f>
        <v>25106.555520000002</v>
      </c>
      <c r="CR63" s="92"/>
      <c r="CS63" s="269">
        <v>20918</v>
      </c>
      <c r="CT63" s="92"/>
      <c r="CU63" s="269">
        <v>19099</v>
      </c>
      <c r="CV63" s="92"/>
      <c r="CW63" s="269">
        <v>17246</v>
      </c>
      <c r="CX63" s="92"/>
      <c r="CY63" s="270">
        <v>11141</v>
      </c>
      <c r="CZ63" s="351"/>
      <c r="DA63" s="351"/>
      <c r="DB63" s="351"/>
      <c r="DC63" s="351"/>
      <c r="DD63" s="244" t="s">
        <v>572</v>
      </c>
      <c r="DE63" s="245"/>
      <c r="DF63" s="245"/>
      <c r="DG63" s="642" t="s">
        <v>520</v>
      </c>
      <c r="DH63" s="400" t="s">
        <v>544</v>
      </c>
      <c r="DI63" s="293" t="s">
        <v>545</v>
      </c>
      <c r="DJ63" s="254" t="s">
        <v>499</v>
      </c>
      <c r="DK63" s="254" t="s">
        <v>498</v>
      </c>
      <c r="DL63" s="254" t="s">
        <v>517</v>
      </c>
      <c r="DM63" s="254" t="s">
        <v>500</v>
      </c>
      <c r="DN63" s="254" t="s">
        <v>504</v>
      </c>
      <c r="DO63" s="254" t="s">
        <v>502</v>
      </c>
      <c r="DP63" s="254" t="s">
        <v>503</v>
      </c>
      <c r="DQ63" s="255" t="s">
        <v>501</v>
      </c>
      <c r="DV63" s="379"/>
    </row>
    <row r="64" spans="1:136" ht="23.1" customHeight="1" thickBot="1">
      <c r="A64" s="371" t="s">
        <v>573</v>
      </c>
      <c r="B64" s="359"/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2"/>
      <c r="AB64" s="92"/>
      <c r="AC64" s="92"/>
      <c r="AD64" s="92"/>
      <c r="AE64" s="92"/>
      <c r="AF64" s="91"/>
      <c r="AG64" s="91"/>
      <c r="AH64" s="364"/>
      <c r="AI64" s="371" t="s">
        <v>573</v>
      </c>
      <c r="AJ64" s="365"/>
      <c r="AK64" s="91"/>
      <c r="AL64" s="91"/>
      <c r="AM64" s="91"/>
      <c r="AN64" s="91"/>
      <c r="AO64" s="91"/>
      <c r="AP64" s="92"/>
      <c r="AQ64" s="92"/>
      <c r="AR64" s="92"/>
      <c r="AS64" s="92"/>
      <c r="AT64" s="92"/>
      <c r="AU64" s="92"/>
      <c r="AV64" s="91"/>
      <c r="AW64" s="91"/>
      <c r="AX64" s="91"/>
      <c r="AY64" s="91"/>
      <c r="AZ64" s="91"/>
      <c r="BA64" s="91"/>
      <c r="BB64" s="91"/>
      <c r="BC64" s="91">
        <v>20000</v>
      </c>
      <c r="BD64" s="91">
        <v>25000</v>
      </c>
      <c r="BE64" s="91">
        <v>25000</v>
      </c>
      <c r="BF64" s="91">
        <v>25500</v>
      </c>
      <c r="BG64" s="91">
        <v>18000</v>
      </c>
      <c r="BH64" s="91">
        <v>19000</v>
      </c>
      <c r="BI64" s="91">
        <v>23000</v>
      </c>
      <c r="BJ64" s="91">
        <v>23000</v>
      </c>
      <c r="BK64" s="91">
        <v>39000</v>
      </c>
      <c r="BL64" s="91">
        <v>39000</v>
      </c>
      <c r="BM64" s="91">
        <v>34000</v>
      </c>
      <c r="BN64" s="91">
        <v>33500</v>
      </c>
      <c r="BO64" s="91">
        <v>49000</v>
      </c>
      <c r="BP64" s="364">
        <v>48500</v>
      </c>
      <c r="BQ64" s="371" t="s">
        <v>573</v>
      </c>
      <c r="BR64" s="365">
        <v>49000</v>
      </c>
      <c r="BS64" s="91">
        <v>48500</v>
      </c>
      <c r="BT64" s="91">
        <v>58000</v>
      </c>
      <c r="BU64" s="91">
        <v>58000</v>
      </c>
      <c r="BV64" s="91">
        <v>45000</v>
      </c>
      <c r="BW64" s="91">
        <v>45000</v>
      </c>
      <c r="BX64" s="91">
        <v>53000</v>
      </c>
      <c r="BY64" s="91">
        <v>53000</v>
      </c>
      <c r="BZ64" s="91">
        <v>38000</v>
      </c>
      <c r="CA64" s="91">
        <v>43876</v>
      </c>
      <c r="CB64" s="91">
        <v>51000</v>
      </c>
      <c r="CC64" s="91">
        <v>56976</v>
      </c>
      <c r="CD64" s="91">
        <v>46000</v>
      </c>
      <c r="CE64" s="91">
        <v>51976</v>
      </c>
      <c r="CF64" s="91">
        <v>53000</v>
      </c>
      <c r="CG64" s="91">
        <v>53100</v>
      </c>
      <c r="CH64" s="91">
        <v>28000</v>
      </c>
      <c r="CI64" s="92">
        <v>28000</v>
      </c>
      <c r="CJ64" s="92">
        <v>25000</v>
      </c>
      <c r="CK64" s="92">
        <v>25000</v>
      </c>
      <c r="CL64" s="92">
        <v>15000</v>
      </c>
      <c r="CM64" s="92">
        <v>15000</v>
      </c>
      <c r="CN64" s="92">
        <v>25000</v>
      </c>
      <c r="CO64" s="92">
        <v>25000</v>
      </c>
      <c r="CP64" s="92">
        <v>25000</v>
      </c>
      <c r="CQ64" s="269">
        <v>25000</v>
      </c>
      <c r="CR64" s="92">
        <v>25000</v>
      </c>
      <c r="CS64" s="269">
        <v>25000</v>
      </c>
      <c r="CT64" s="92">
        <v>30000</v>
      </c>
      <c r="CU64" s="269">
        <v>30000</v>
      </c>
      <c r="CV64" s="92">
        <v>50000</v>
      </c>
      <c r="CW64" s="269">
        <v>50000</v>
      </c>
      <c r="CX64" s="299" t="s">
        <v>206</v>
      </c>
      <c r="CY64" s="270">
        <v>45000</v>
      </c>
      <c r="CZ64" s="351"/>
      <c r="DA64" s="351"/>
      <c r="DB64" s="351"/>
      <c r="DC64" s="351"/>
      <c r="DD64" s="263" t="s">
        <v>526</v>
      </c>
      <c r="DE64" s="245"/>
      <c r="DF64" s="245"/>
      <c r="DG64" s="643"/>
      <c r="DH64" s="401">
        <v>127000</v>
      </c>
      <c r="DI64" s="294">
        <v>98000</v>
      </c>
      <c r="DJ64" s="265">
        <v>87438</v>
      </c>
      <c r="DK64" s="265">
        <v>87340</v>
      </c>
      <c r="DL64" s="265">
        <v>84000</v>
      </c>
      <c r="DM64" s="265">
        <v>83437</v>
      </c>
      <c r="DN64" s="265">
        <v>75200</v>
      </c>
      <c r="DO64" s="265">
        <v>74700</v>
      </c>
      <c r="DP64" s="265">
        <v>74700</v>
      </c>
      <c r="DQ64" s="266">
        <v>74035</v>
      </c>
    </row>
    <row r="65" spans="1:121" ht="23.1" customHeight="1">
      <c r="A65" s="371" t="s">
        <v>574</v>
      </c>
      <c r="B65" s="359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2"/>
      <c r="AB65" s="92"/>
      <c r="AC65" s="92"/>
      <c r="AD65" s="92"/>
      <c r="AE65" s="92"/>
      <c r="AF65" s="91"/>
      <c r="AG65" s="91"/>
      <c r="AH65" s="364"/>
      <c r="AI65" s="371" t="s">
        <v>574</v>
      </c>
      <c r="AJ65" s="365"/>
      <c r="AK65" s="91"/>
      <c r="AL65" s="91"/>
      <c r="AM65" s="91"/>
      <c r="AN65" s="91"/>
      <c r="AO65" s="91"/>
      <c r="AP65" s="92"/>
      <c r="AQ65" s="92"/>
      <c r="AR65" s="92"/>
      <c r="AS65" s="92"/>
      <c r="AT65" s="92"/>
      <c r="AU65" s="92"/>
      <c r="AV65" s="91"/>
      <c r="AW65" s="91"/>
      <c r="AX65" s="91"/>
      <c r="AY65" s="91"/>
      <c r="AZ65" s="91"/>
      <c r="BA65" s="91"/>
      <c r="BB65" s="91"/>
      <c r="BC65" s="91"/>
      <c r="BD65" s="91"/>
      <c r="BE65" s="91"/>
      <c r="BF65" s="91"/>
      <c r="BG65" s="91"/>
      <c r="BH65" s="91"/>
      <c r="BI65" s="91"/>
      <c r="BJ65" s="91"/>
      <c r="BK65" s="91"/>
      <c r="BL65" s="91"/>
      <c r="BM65" s="91"/>
      <c r="BN65" s="91"/>
      <c r="BO65" s="91"/>
      <c r="BP65" s="364"/>
      <c r="BQ65" s="371" t="s">
        <v>574</v>
      </c>
      <c r="BR65" s="365"/>
      <c r="BS65" s="91"/>
      <c r="BT65" s="91"/>
      <c r="BU65" s="91"/>
      <c r="BV65" s="91"/>
      <c r="BW65" s="91"/>
      <c r="BX65" s="91"/>
      <c r="BY65" s="91"/>
      <c r="BZ65" s="91"/>
      <c r="CA65" s="91"/>
      <c r="CB65" s="91"/>
      <c r="CC65" s="91"/>
      <c r="CD65" s="91"/>
      <c r="CE65" s="91"/>
      <c r="CF65" s="91"/>
      <c r="CG65" s="91"/>
      <c r="CH65" s="91"/>
      <c r="CI65" s="92"/>
      <c r="CJ65" s="92"/>
      <c r="CK65" s="92"/>
      <c r="CL65" s="92"/>
      <c r="CM65" s="92">
        <v>20</v>
      </c>
      <c r="CN65" s="92"/>
      <c r="CO65" s="92">
        <v>20</v>
      </c>
      <c r="CP65" s="92"/>
      <c r="CQ65" s="269">
        <v>20</v>
      </c>
      <c r="CR65" s="92"/>
      <c r="CS65" s="269">
        <v>20</v>
      </c>
      <c r="CT65" s="92"/>
      <c r="CU65" s="269">
        <v>20</v>
      </c>
      <c r="CV65" s="92"/>
      <c r="CW65" s="269">
        <v>20</v>
      </c>
      <c r="CX65" s="92"/>
      <c r="CY65" s="270">
        <v>0</v>
      </c>
      <c r="CZ65" s="351"/>
      <c r="DA65" s="351"/>
      <c r="DB65" s="351"/>
      <c r="DC65" s="351"/>
      <c r="DD65" s="273"/>
    </row>
    <row r="66" spans="1:121" ht="23.1" customHeight="1">
      <c r="A66" s="371" t="s">
        <v>575</v>
      </c>
      <c r="B66" s="359"/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92"/>
      <c r="AC66" s="92"/>
      <c r="AD66" s="92">
        <v>5000</v>
      </c>
      <c r="AE66" s="92">
        <v>2463</v>
      </c>
      <c r="AF66" s="91">
        <v>1686.2</v>
      </c>
      <c r="AG66" s="91">
        <v>1165.8</v>
      </c>
      <c r="AH66" s="364">
        <v>796.1</v>
      </c>
      <c r="AI66" s="371" t="s">
        <v>575</v>
      </c>
      <c r="AJ66" s="365">
        <v>743.2</v>
      </c>
      <c r="AK66" s="91">
        <v>592.29999999999995</v>
      </c>
      <c r="AL66" s="91">
        <v>509.1</v>
      </c>
      <c r="AM66" s="91">
        <v>358.7</v>
      </c>
      <c r="AN66" s="91">
        <v>271.2</v>
      </c>
      <c r="AO66" s="91"/>
      <c r="AP66" s="92"/>
      <c r="AQ66" s="92"/>
      <c r="AR66" s="92">
        <v>28973</v>
      </c>
      <c r="AS66" s="92">
        <v>28922</v>
      </c>
      <c r="AT66" s="92">
        <v>27548</v>
      </c>
      <c r="AU66" s="92">
        <v>17990</v>
      </c>
      <c r="AV66" s="91">
        <f>12244+25770</f>
        <v>38014</v>
      </c>
      <c r="AW66" s="91">
        <f>11882+25770</f>
        <v>37652</v>
      </c>
      <c r="AX66" s="91">
        <f>11882+49478.4</f>
        <v>61360.4</v>
      </c>
      <c r="AY66" s="91">
        <f>25770+11882+43725.83</f>
        <v>81377.83</v>
      </c>
      <c r="AZ66" s="91">
        <f>11882+43725.83</f>
        <v>55607.83</v>
      </c>
      <c r="BA66" s="91">
        <f>23708.4+11882+20017.43</f>
        <v>55607.83</v>
      </c>
      <c r="BB66" s="91">
        <f>20017.43+11882</f>
        <v>31899.43</v>
      </c>
      <c r="BC66" s="91">
        <v>8899</v>
      </c>
      <c r="BD66" s="91">
        <v>8209</v>
      </c>
      <c r="BE66" s="91">
        <v>8209</v>
      </c>
      <c r="BF66" s="91">
        <v>8209</v>
      </c>
      <c r="BG66" s="91">
        <v>8209</v>
      </c>
      <c r="BH66" s="91">
        <v>8209</v>
      </c>
      <c r="BI66" s="91">
        <v>8209</v>
      </c>
      <c r="BJ66" s="91">
        <v>8209</v>
      </c>
      <c r="BK66" s="91"/>
      <c r="BL66" s="91"/>
      <c r="BM66" s="91"/>
      <c r="BN66" s="91"/>
      <c r="BO66" s="91"/>
      <c r="BP66" s="364"/>
      <c r="BQ66" s="371" t="s">
        <v>575</v>
      </c>
      <c r="BR66" s="365"/>
      <c r="BS66" s="91"/>
      <c r="BT66" s="91"/>
      <c r="BU66" s="91"/>
      <c r="BV66" s="91"/>
      <c r="BW66" s="91"/>
      <c r="BX66" s="91"/>
      <c r="BY66" s="91"/>
      <c r="BZ66" s="91"/>
      <c r="CA66" s="91"/>
      <c r="CB66" s="91"/>
      <c r="CC66" s="91"/>
      <c r="CD66" s="91"/>
      <c r="CE66" s="91"/>
      <c r="CF66" s="91"/>
      <c r="CG66" s="91"/>
      <c r="CH66" s="91">
        <v>10044</v>
      </c>
      <c r="CI66" s="92">
        <v>10044</v>
      </c>
      <c r="CJ66" s="92">
        <v>10034</v>
      </c>
      <c r="CK66" s="92">
        <v>10034</v>
      </c>
      <c r="CL66" s="92">
        <v>10024</v>
      </c>
      <c r="CM66" s="92">
        <v>10024</v>
      </c>
      <c r="CN66" s="92">
        <v>0</v>
      </c>
      <c r="CO66" s="92">
        <v>0</v>
      </c>
      <c r="CP66" s="92">
        <v>0</v>
      </c>
      <c r="CQ66" s="269">
        <v>0</v>
      </c>
      <c r="CR66" s="92">
        <v>0</v>
      </c>
      <c r="CS66" s="269">
        <v>0</v>
      </c>
      <c r="CT66" s="92">
        <v>0</v>
      </c>
      <c r="CU66" s="269">
        <v>0</v>
      </c>
      <c r="CV66" s="92">
        <v>0</v>
      </c>
      <c r="CW66" s="269">
        <v>0</v>
      </c>
      <c r="CX66" s="92">
        <v>0</v>
      </c>
      <c r="CY66" s="270">
        <v>0</v>
      </c>
      <c r="CZ66" s="351"/>
      <c r="DA66" s="351"/>
      <c r="DB66" s="351"/>
      <c r="DC66" s="351"/>
      <c r="DD66" s="273"/>
    </row>
    <row r="67" spans="1:121" ht="23.1" customHeight="1" thickBot="1">
      <c r="A67" s="360" t="s">
        <v>576</v>
      </c>
      <c r="B67" s="359">
        <f>SUM(B60:B66)</f>
        <v>0</v>
      </c>
      <c r="C67" s="92">
        <f t="shared" ref="C67:BO67" si="92">SUM(C60:C66)</f>
        <v>5.85</v>
      </c>
      <c r="D67" s="92">
        <f t="shared" si="92"/>
        <v>11</v>
      </c>
      <c r="E67" s="92">
        <f t="shared" si="92"/>
        <v>21</v>
      </c>
      <c r="F67" s="92">
        <f t="shared" si="92"/>
        <v>37.7027</v>
      </c>
      <c r="G67" s="92">
        <f t="shared" si="92"/>
        <v>44</v>
      </c>
      <c r="H67" s="92">
        <f t="shared" si="92"/>
        <v>100</v>
      </c>
      <c r="I67" s="92">
        <f t="shared" si="92"/>
        <v>225.44</v>
      </c>
      <c r="J67" s="92">
        <f t="shared" si="92"/>
        <v>100</v>
      </c>
      <c r="K67" s="92">
        <f t="shared" si="92"/>
        <v>200</v>
      </c>
      <c r="L67" s="92">
        <f t="shared" si="92"/>
        <v>902.507611</v>
      </c>
      <c r="M67" s="92">
        <f t="shared" si="92"/>
        <v>1366.503678</v>
      </c>
      <c r="N67" s="92">
        <f t="shared" si="92"/>
        <v>496.03899999999999</v>
      </c>
      <c r="O67" s="92">
        <f t="shared" si="92"/>
        <v>466.65</v>
      </c>
      <c r="P67" s="92">
        <f t="shared" si="92"/>
        <v>280</v>
      </c>
      <c r="Q67" s="92">
        <f t="shared" si="92"/>
        <v>1105.42</v>
      </c>
      <c r="R67" s="92">
        <f t="shared" si="92"/>
        <v>1197.1290979999999</v>
      </c>
      <c r="S67" s="92">
        <f t="shared" si="92"/>
        <v>1244.0971039999999</v>
      </c>
      <c r="T67" s="92">
        <f t="shared" si="92"/>
        <v>1439.7101520000001</v>
      </c>
      <c r="U67" s="92">
        <f t="shared" si="92"/>
        <v>1922.348606</v>
      </c>
      <c r="V67" s="92">
        <f t="shared" si="92"/>
        <v>1832.2382069999999</v>
      </c>
      <c r="W67" s="92">
        <f t="shared" si="92"/>
        <v>3175.486093</v>
      </c>
      <c r="X67" s="92">
        <f t="shared" si="92"/>
        <v>4898.6240090000001</v>
      </c>
      <c r="Y67" s="92">
        <f t="shared" si="92"/>
        <v>5058.7542370000001</v>
      </c>
      <c r="Z67" s="92">
        <f t="shared" si="92"/>
        <v>8685.5762219999997</v>
      </c>
      <c r="AA67" s="92">
        <f t="shared" si="92"/>
        <v>8099.730603</v>
      </c>
      <c r="AB67" s="92">
        <f t="shared" si="92"/>
        <v>7836.4490329999999</v>
      </c>
      <c r="AC67" s="92">
        <f t="shared" si="92"/>
        <v>15041.003925999999</v>
      </c>
      <c r="AD67" s="92">
        <f t="shared" si="92"/>
        <v>21496.180249000001</v>
      </c>
      <c r="AE67" s="92">
        <f t="shared" si="92"/>
        <v>16890.989686000001</v>
      </c>
      <c r="AF67" s="92">
        <f t="shared" si="92"/>
        <v>12562.338475</v>
      </c>
      <c r="AG67" s="92">
        <f t="shared" si="92"/>
        <v>11987.785617</v>
      </c>
      <c r="AH67" s="270">
        <f t="shared" si="92"/>
        <v>11454.792626</v>
      </c>
      <c r="AI67" s="360" t="s">
        <v>576</v>
      </c>
      <c r="AJ67" s="301">
        <f t="shared" si="92"/>
        <v>9792.8052920000009</v>
      </c>
      <c r="AK67" s="92">
        <f t="shared" si="92"/>
        <v>9430.2029999999995</v>
      </c>
      <c r="AL67" s="92">
        <f t="shared" si="92"/>
        <v>8143.2460000000001</v>
      </c>
      <c r="AM67" s="92">
        <f t="shared" si="92"/>
        <v>6891.8549999999996</v>
      </c>
      <c r="AN67" s="92">
        <f t="shared" si="92"/>
        <v>12573.939</v>
      </c>
      <c r="AO67" s="92">
        <f t="shared" si="92"/>
        <v>9847.7260189999997</v>
      </c>
      <c r="AP67" s="92">
        <f t="shared" si="92"/>
        <v>11179.8194</v>
      </c>
      <c r="AQ67" s="92">
        <f t="shared" si="92"/>
        <v>9389.5521089999984</v>
      </c>
      <c r="AR67" s="92">
        <f t="shared" si="92"/>
        <v>32358.537974999999</v>
      </c>
      <c r="AS67" s="92">
        <f t="shared" si="92"/>
        <v>32417.594594999999</v>
      </c>
      <c r="AT67" s="92">
        <f t="shared" si="92"/>
        <v>33003.650419999998</v>
      </c>
      <c r="AU67" s="92">
        <f t="shared" si="92"/>
        <v>35514.051900999999</v>
      </c>
      <c r="AV67" s="92">
        <f t="shared" si="92"/>
        <v>66504.532317000005</v>
      </c>
      <c r="AW67" s="92">
        <f t="shared" si="92"/>
        <v>80926.565627999997</v>
      </c>
      <c r="AX67" s="92">
        <f t="shared" si="92"/>
        <v>135647.016413</v>
      </c>
      <c r="AY67" s="92">
        <f t="shared" si="92"/>
        <v>159547.74285799998</v>
      </c>
      <c r="AZ67" s="92">
        <f t="shared" si="92"/>
        <v>129631.195654</v>
      </c>
      <c r="BA67" s="92">
        <f t="shared" si="92"/>
        <v>126969.90065400001</v>
      </c>
      <c r="BB67" s="92">
        <f t="shared" si="92"/>
        <v>95782.738011000009</v>
      </c>
      <c r="BC67" s="92">
        <f t="shared" si="92"/>
        <v>94115.880615000002</v>
      </c>
      <c r="BD67" s="92">
        <f t="shared" si="92"/>
        <v>84314</v>
      </c>
      <c r="BE67" s="92">
        <f t="shared" si="92"/>
        <v>74278</v>
      </c>
      <c r="BF67" s="92">
        <f t="shared" si="92"/>
        <v>101523</v>
      </c>
      <c r="BG67" s="92">
        <f t="shared" si="92"/>
        <v>72792</v>
      </c>
      <c r="BH67" s="92">
        <f t="shared" si="92"/>
        <v>95626</v>
      </c>
      <c r="BI67" s="92">
        <f t="shared" si="92"/>
        <v>81960</v>
      </c>
      <c r="BJ67" s="92">
        <f t="shared" si="92"/>
        <v>106761</v>
      </c>
      <c r="BK67" s="92">
        <f t="shared" si="92"/>
        <v>92384</v>
      </c>
      <c r="BL67" s="92">
        <f t="shared" si="92"/>
        <v>118350</v>
      </c>
      <c r="BM67" s="92">
        <f t="shared" si="92"/>
        <v>71785</v>
      </c>
      <c r="BN67" s="92">
        <f t="shared" si="92"/>
        <v>97239</v>
      </c>
      <c r="BO67" s="92">
        <f t="shared" si="92"/>
        <v>78322</v>
      </c>
      <c r="BP67" s="270">
        <f t="shared" ref="BP67:CI67" si="93">SUM(BP60:BP66)</f>
        <v>101664</v>
      </c>
      <c r="BQ67" s="360" t="s">
        <v>576</v>
      </c>
      <c r="BR67" s="301">
        <f t="shared" si="93"/>
        <v>87549</v>
      </c>
      <c r="BS67" s="92">
        <f t="shared" si="93"/>
        <v>106092</v>
      </c>
      <c r="BT67" s="92">
        <f t="shared" si="93"/>
        <v>97331</v>
      </c>
      <c r="BU67" s="92">
        <f t="shared" si="93"/>
        <v>105391</v>
      </c>
      <c r="BV67" s="92">
        <f t="shared" si="93"/>
        <v>95242</v>
      </c>
      <c r="BW67" s="92">
        <f t="shared" si="93"/>
        <v>106095</v>
      </c>
      <c r="BX67" s="92">
        <f t="shared" si="93"/>
        <v>126136</v>
      </c>
      <c r="BY67" s="92">
        <f t="shared" si="93"/>
        <v>145098</v>
      </c>
      <c r="BZ67" s="92">
        <f t="shared" si="93"/>
        <v>117806</v>
      </c>
      <c r="CA67" s="92">
        <f t="shared" si="93"/>
        <v>136813</v>
      </c>
      <c r="CB67" s="92">
        <f t="shared" si="93"/>
        <v>98619</v>
      </c>
      <c r="CC67" s="92">
        <f t="shared" si="93"/>
        <v>116597</v>
      </c>
      <c r="CD67" s="92">
        <f t="shared" si="93"/>
        <v>90580</v>
      </c>
      <c r="CE67" s="92">
        <f t="shared" si="93"/>
        <v>107551</v>
      </c>
      <c r="CF67" s="92">
        <f t="shared" si="93"/>
        <v>84719</v>
      </c>
      <c r="CG67" s="92">
        <f t="shared" si="93"/>
        <v>94694</v>
      </c>
      <c r="CH67" s="92">
        <f t="shared" si="93"/>
        <v>83745</v>
      </c>
      <c r="CI67" s="92">
        <f t="shared" si="93"/>
        <v>93120</v>
      </c>
      <c r="CJ67" s="92">
        <f>SUM(CJ60:CJ66)+1</f>
        <v>73623</v>
      </c>
      <c r="CK67" s="92">
        <f>SUM(CK60:CK66)</f>
        <v>79886</v>
      </c>
      <c r="CL67" s="92">
        <f>SUM(CL60:CL66)+1</f>
        <v>84921</v>
      </c>
      <c r="CM67" s="92">
        <f t="shared" ref="CM67:CR67" si="94">SUM(CM60:CM66)</f>
        <v>106416</v>
      </c>
      <c r="CN67" s="92">
        <f t="shared" si="94"/>
        <v>60000</v>
      </c>
      <c r="CO67" s="92">
        <f t="shared" si="94"/>
        <v>92842.437999999995</v>
      </c>
      <c r="CP67" s="92">
        <f t="shared" si="94"/>
        <v>57000</v>
      </c>
      <c r="CQ67" s="269">
        <f t="shared" si="94"/>
        <v>91449.495519999997</v>
      </c>
      <c r="CR67" s="92">
        <f t="shared" si="94"/>
        <v>69943</v>
      </c>
      <c r="CS67" s="269">
        <f>SUM(CS60:CS66)+2</f>
        <v>99407</v>
      </c>
      <c r="CT67" s="92">
        <f t="shared" ref="CT67:CV67" si="95">SUM(CT60:CT66)</f>
        <v>149178</v>
      </c>
      <c r="CU67" s="269">
        <f>SUM(CU60:CU66)+1</f>
        <v>178217</v>
      </c>
      <c r="CV67" s="92">
        <f t="shared" si="95"/>
        <v>126991</v>
      </c>
      <c r="CW67" s="269">
        <f>SUM(CW60:CW66)+2</f>
        <v>149748</v>
      </c>
      <c r="CX67" s="92">
        <f t="shared" ref="CX67" si="96">SUM(CX60:CX66)</f>
        <v>73207</v>
      </c>
      <c r="CY67" s="270">
        <f>SUM(CY60:CY66)+1</f>
        <v>193485</v>
      </c>
      <c r="CZ67" s="351"/>
      <c r="DA67" s="351"/>
      <c r="DB67" s="351"/>
      <c r="DC67" s="351"/>
      <c r="DD67" s="273"/>
    </row>
    <row r="68" spans="1:121" ht="23.1" customHeight="1">
      <c r="A68" s="360" t="s">
        <v>577</v>
      </c>
      <c r="B68" s="366">
        <f t="shared" ref="B68:AG68" si="97">B67/B57</f>
        <v>0</v>
      </c>
      <c r="C68" s="367">
        <f t="shared" si="97"/>
        <v>3.9</v>
      </c>
      <c r="D68" s="367">
        <f t="shared" si="97"/>
        <v>0.2740385177738483</v>
      </c>
      <c r="E68" s="367">
        <f t="shared" si="97"/>
        <v>0.2193460592067657</v>
      </c>
      <c r="F68" s="367">
        <f t="shared" si="97"/>
        <v>0.2094301951906839</v>
      </c>
      <c r="G68" s="367">
        <f t="shared" si="97"/>
        <v>0.10019840683231468</v>
      </c>
      <c r="H68" s="367">
        <f t="shared" si="97"/>
        <v>0.1003950235965803</v>
      </c>
      <c r="I68" s="367">
        <f t="shared" si="97"/>
        <v>7.8211189531397302E-2</v>
      </c>
      <c r="J68" s="367">
        <f t="shared" si="97"/>
        <v>3.501685799260993E-2</v>
      </c>
      <c r="K68" s="367">
        <f t="shared" si="97"/>
        <v>5.9695788310716313E-2</v>
      </c>
      <c r="L68" s="367">
        <f t="shared" si="97"/>
        <v>0.20918086499192043</v>
      </c>
      <c r="M68" s="367">
        <f t="shared" si="97"/>
        <v>0.18264172079861998</v>
      </c>
      <c r="N68" s="367">
        <f t="shared" si="97"/>
        <v>4.2333689732160638E-2</v>
      </c>
      <c r="O68" s="367">
        <f t="shared" si="97"/>
        <v>3.6843099153996396E-2</v>
      </c>
      <c r="P68" s="367">
        <f t="shared" si="97"/>
        <v>2.0275403276301198E-2</v>
      </c>
      <c r="Q68" s="367">
        <f t="shared" si="97"/>
        <v>7.1951552928599019E-2</v>
      </c>
      <c r="R68" s="367">
        <f t="shared" si="97"/>
        <v>6.4184236027381755E-2</v>
      </c>
      <c r="S68" s="367">
        <f t="shared" si="97"/>
        <v>4.7704169018613858E-2</v>
      </c>
      <c r="T68" s="367">
        <f t="shared" si="97"/>
        <v>5.2652403051813797E-2</v>
      </c>
      <c r="U68" s="367">
        <f t="shared" si="97"/>
        <v>6.6874734254012136E-2</v>
      </c>
      <c r="V68" s="367">
        <f t="shared" si="97"/>
        <v>5.2480567292917016E-2</v>
      </c>
      <c r="W68" s="367">
        <f t="shared" si="97"/>
        <v>6.9302069105879147E-2</v>
      </c>
      <c r="X68" s="367">
        <f t="shared" si="97"/>
        <v>9.072646207912563E-2</v>
      </c>
      <c r="Y68" s="367">
        <f t="shared" si="97"/>
        <v>8.1103454141750325E-2</v>
      </c>
      <c r="Z68" s="367">
        <f t="shared" si="97"/>
        <v>0.11786391963248685</v>
      </c>
      <c r="AA68" s="367">
        <f t="shared" si="97"/>
        <v>9.48778271825126E-2</v>
      </c>
      <c r="AB68" s="367">
        <f t="shared" si="97"/>
        <v>7.0823058668435426E-2</v>
      </c>
      <c r="AC68" s="367">
        <f t="shared" si="97"/>
        <v>0.1103130381917467</v>
      </c>
      <c r="AD68" s="367">
        <f t="shared" si="97"/>
        <v>0.13298080889829206</v>
      </c>
      <c r="AE68" s="367">
        <f t="shared" si="97"/>
        <v>0.10129507660785136</v>
      </c>
      <c r="AF68" s="367">
        <f t="shared" si="97"/>
        <v>7.1879005245634411E-2</v>
      </c>
      <c r="AG68" s="367">
        <f t="shared" si="97"/>
        <v>6.193731552438201E-2</v>
      </c>
      <c r="AH68" s="368">
        <f t="shared" ref="AH68:BN68" si="98">AH67/AH57</f>
        <v>4.7890091365580305E-2</v>
      </c>
      <c r="AI68" s="360" t="s">
        <v>577</v>
      </c>
      <c r="AJ68" s="369">
        <f t="shared" si="98"/>
        <v>3.708690448291023E-2</v>
      </c>
      <c r="AK68" s="367">
        <f t="shared" si="98"/>
        <v>3.2509296200108014E-2</v>
      </c>
      <c r="AL68" s="367">
        <f t="shared" si="98"/>
        <v>2.4016568736554712E-2</v>
      </c>
      <c r="AM68" s="367">
        <f t="shared" si="98"/>
        <v>1.8755785803363768E-2</v>
      </c>
      <c r="AN68" s="367">
        <f t="shared" si="98"/>
        <v>3.2126341787804179E-2</v>
      </c>
      <c r="AO68" s="367">
        <f t="shared" si="98"/>
        <v>2.4006075644108022E-2</v>
      </c>
      <c r="AP68" s="367">
        <f t="shared" si="98"/>
        <v>2.6122418363863281E-2</v>
      </c>
      <c r="AQ68" s="367">
        <f t="shared" si="98"/>
        <v>2.2782417111144152E-2</v>
      </c>
      <c r="AR68" s="367">
        <f t="shared" si="98"/>
        <v>7.6017559625725428E-2</v>
      </c>
      <c r="AS68" s="367">
        <f t="shared" si="98"/>
        <v>7.5568126052567325E-2</v>
      </c>
      <c r="AT68" s="367">
        <f t="shared" si="98"/>
        <v>7.3983824566936612E-2</v>
      </c>
      <c r="AU68" s="367">
        <f t="shared" si="98"/>
        <v>7.3043667414054755E-2</v>
      </c>
      <c r="AV68" s="367">
        <f t="shared" si="98"/>
        <v>0.12254910016414028</v>
      </c>
      <c r="AW68" s="367">
        <f t="shared" si="98"/>
        <v>0.13627439142271883</v>
      </c>
      <c r="AX68" s="367">
        <f t="shared" si="98"/>
        <v>0.19103949084520033</v>
      </c>
      <c r="AY68" s="367">
        <f t="shared" si="98"/>
        <v>0.21912797909228227</v>
      </c>
      <c r="AZ68" s="367">
        <f t="shared" si="98"/>
        <v>0.19145888075990591</v>
      </c>
      <c r="BA68" s="367">
        <f t="shared" si="98"/>
        <v>0.18638612771180096</v>
      </c>
      <c r="BB68" s="367">
        <f t="shared" si="98"/>
        <v>0.14748630896340581</v>
      </c>
      <c r="BC68" s="367">
        <f t="shared" si="98"/>
        <v>0.14045244363120074</v>
      </c>
      <c r="BD68" s="367">
        <f t="shared" si="98"/>
        <v>0.14862174836128628</v>
      </c>
      <c r="BE68" s="367">
        <f t="shared" si="98"/>
        <v>0.12713857351502164</v>
      </c>
      <c r="BF68" s="367">
        <f t="shared" si="98"/>
        <v>0.15554978213903023</v>
      </c>
      <c r="BG68" s="367">
        <f t="shared" si="98"/>
        <v>0.1247464606351209</v>
      </c>
      <c r="BH68" s="367">
        <f t="shared" si="98"/>
        <v>0.14808358769348984</v>
      </c>
      <c r="BI68" s="367">
        <f t="shared" si="98"/>
        <v>0.13875590346415845</v>
      </c>
      <c r="BJ68" s="367">
        <f t="shared" si="98"/>
        <v>0.16311912336901685</v>
      </c>
      <c r="BK68" s="367">
        <f t="shared" si="98"/>
        <v>0.15690535438377737</v>
      </c>
      <c r="BL68" s="367">
        <f t="shared" si="98"/>
        <v>0.18236822804882497</v>
      </c>
      <c r="BM68" s="367">
        <f t="shared" si="98"/>
        <v>0.13304340106744048</v>
      </c>
      <c r="BN68" s="367">
        <f t="shared" si="98"/>
        <v>0.16322628280198237</v>
      </c>
      <c r="BO68" s="367">
        <f t="shared" ref="BO68:CM68" si="99">BO67/BO57</f>
        <v>0.1457468761891941</v>
      </c>
      <c r="BP68" s="368">
        <f t="shared" si="99"/>
        <v>0.1713955925856773</v>
      </c>
      <c r="BQ68" s="360" t="s">
        <v>577</v>
      </c>
      <c r="BR68" s="369">
        <f t="shared" si="99"/>
        <v>0.16642382112408288</v>
      </c>
      <c r="BS68" s="367">
        <f t="shared" si="99"/>
        <v>0.18361916965204125</v>
      </c>
      <c r="BT68" s="367">
        <f t="shared" si="99"/>
        <v>0.19223050872595013</v>
      </c>
      <c r="BU68" s="367">
        <f t="shared" si="99"/>
        <v>0.19060563148480722</v>
      </c>
      <c r="BV68" s="367">
        <f t="shared" si="99"/>
        <v>0.23708957226100355</v>
      </c>
      <c r="BW68" s="367">
        <f t="shared" si="99"/>
        <v>0.23413810606227795</v>
      </c>
      <c r="BX68" s="367">
        <f t="shared" si="99"/>
        <v>0.3403568095747489</v>
      </c>
      <c r="BY68" s="367">
        <f t="shared" si="99"/>
        <v>0.34185831179509896</v>
      </c>
      <c r="BZ68" s="367">
        <f t="shared" si="99"/>
        <v>0.35517719941707959</v>
      </c>
      <c r="CA68" s="367">
        <f t="shared" si="99"/>
        <v>0.35537228723197006</v>
      </c>
      <c r="CB68" s="367">
        <f t="shared" si="99"/>
        <v>0.32447078022491427</v>
      </c>
      <c r="CC68" s="367">
        <f t="shared" si="99"/>
        <v>0.32742401096308943</v>
      </c>
      <c r="CD68" s="367">
        <f t="shared" si="99"/>
        <v>0.28572239693900403</v>
      </c>
      <c r="CE68" s="367">
        <f t="shared" si="99"/>
        <v>0.28760873808995346</v>
      </c>
      <c r="CF68" s="367">
        <f t="shared" si="99"/>
        <v>0.24841513262451692</v>
      </c>
      <c r="CG68" s="367">
        <f t="shared" si="99"/>
        <v>0.23995459072099901</v>
      </c>
      <c r="CH68" s="367">
        <f t="shared" si="99"/>
        <v>0.23843146856929731</v>
      </c>
      <c r="CI68" s="367">
        <f t="shared" si="99"/>
        <v>0.22635125280751392</v>
      </c>
      <c r="CJ68" s="367">
        <f t="shared" si="99"/>
        <v>0.20266743744322405</v>
      </c>
      <c r="CK68" s="367">
        <f t="shared" si="99"/>
        <v>0.18654971989286107</v>
      </c>
      <c r="CL68" s="367">
        <f t="shared" si="99"/>
        <v>0.23628481835053325</v>
      </c>
      <c r="CM68" s="367">
        <f t="shared" si="99"/>
        <v>0.23900871217480948</v>
      </c>
      <c r="CN68" s="367">
        <f t="shared" ref="CN68:CO68" si="100">CN67/CN57</f>
        <v>0.1561409028015954</v>
      </c>
      <c r="CO68" s="367">
        <f t="shared" si="100"/>
        <v>0.1431425724006328</v>
      </c>
      <c r="CP68" s="367">
        <f t="shared" ref="CP68:CU68" si="101">CP67/CP57</f>
        <v>0.13739336275133426</v>
      </c>
      <c r="CQ68" s="370">
        <f t="shared" si="101"/>
        <v>0.13343715133989995</v>
      </c>
      <c r="CR68" s="367">
        <f t="shared" si="101"/>
        <v>0.15347363478176915</v>
      </c>
      <c r="CS68" s="370">
        <f t="shared" si="101"/>
        <v>0.13852124353775622</v>
      </c>
      <c r="CT68" s="367">
        <f t="shared" si="101"/>
        <v>0.287092776203966</v>
      </c>
      <c r="CU68" s="370">
        <f t="shared" si="101"/>
        <v>0.18900442771164197</v>
      </c>
      <c r="CV68" s="367">
        <f t="shared" ref="CV68:CW68" si="102">CV67/CV57</f>
        <v>0.22863300182199209</v>
      </c>
      <c r="CW68" s="370">
        <f t="shared" si="102"/>
        <v>0.16121194243876286</v>
      </c>
      <c r="CX68" s="367">
        <f t="shared" ref="CX68:CY68" si="103">CX67/CX57</f>
        <v>0.15175328767350457</v>
      </c>
      <c r="CY68" s="368">
        <f t="shared" si="103"/>
        <v>0.20884965113467582</v>
      </c>
      <c r="CZ68" s="351"/>
      <c r="DA68" s="351"/>
      <c r="DB68" s="351"/>
      <c r="DC68" s="351"/>
      <c r="DD68" s="244" t="s">
        <v>564</v>
      </c>
      <c r="DE68" s="245"/>
      <c r="DF68" s="245"/>
      <c r="DG68" s="636" t="s">
        <v>520</v>
      </c>
      <c r="DH68" s="400" t="s">
        <v>544</v>
      </c>
      <c r="DI68" s="293" t="s">
        <v>545</v>
      </c>
      <c r="DJ68" s="254" t="s">
        <v>515</v>
      </c>
      <c r="DK68" s="254" t="s">
        <v>516</v>
      </c>
      <c r="DL68" s="254" t="s">
        <v>514</v>
      </c>
      <c r="DM68" s="254" t="s">
        <v>517</v>
      </c>
      <c r="DN68" s="254" t="s">
        <v>513</v>
      </c>
      <c r="DO68" s="254" t="s">
        <v>504</v>
      </c>
      <c r="DP68" s="254" t="s">
        <v>512</v>
      </c>
      <c r="DQ68" s="255" t="s">
        <v>503</v>
      </c>
    </row>
    <row r="69" spans="1:121" ht="23.1" customHeight="1" thickBot="1">
      <c r="A69" s="360" t="s">
        <v>566</v>
      </c>
      <c r="B69" s="366">
        <f t="shared" ref="B69:AF69" si="104">B67/B56</f>
        <v>0</v>
      </c>
      <c r="C69" s="367">
        <f t="shared" si="104"/>
        <v>3.9</v>
      </c>
      <c r="D69" s="367">
        <f t="shared" si="104"/>
        <v>1.3556083696468466</v>
      </c>
      <c r="E69" s="367">
        <f t="shared" si="104"/>
        <v>1.5036042467798347</v>
      </c>
      <c r="F69" s="367">
        <f t="shared" si="104"/>
        <v>1.1282345769857227</v>
      </c>
      <c r="G69" s="367">
        <f t="shared" si="104"/>
        <v>1.0873229979387786</v>
      </c>
      <c r="H69" s="367">
        <f t="shared" si="104"/>
        <v>1.2625202077406301</v>
      </c>
      <c r="I69" s="367">
        <f t="shared" si="104"/>
        <v>2.2321832586017969</v>
      </c>
      <c r="J69" s="367">
        <f t="shared" si="104"/>
        <v>0.47389205234738613</v>
      </c>
      <c r="K69" s="367">
        <f t="shared" si="104"/>
        <v>0.55438373463624235</v>
      </c>
      <c r="L69" s="367">
        <f t="shared" si="104"/>
        <v>1.7290557554606012</v>
      </c>
      <c r="M69" s="367">
        <f t="shared" si="104"/>
        <v>1.8788612650293612</v>
      </c>
      <c r="N69" s="367">
        <f t="shared" si="104"/>
        <v>0.49809197073301109</v>
      </c>
      <c r="O69" s="367">
        <f t="shared" si="104"/>
        <v>0.29854152494487618</v>
      </c>
      <c r="P69" s="367">
        <f t="shared" si="104"/>
        <v>0.18575535596760268</v>
      </c>
      <c r="Q69" s="367">
        <f t="shared" si="104"/>
        <v>0.34004725406056052</v>
      </c>
      <c r="R69" s="367">
        <f t="shared" si="104"/>
        <v>0.2398898953345168</v>
      </c>
      <c r="S69" s="367">
        <f t="shared" si="104"/>
        <v>0.18240562582778419</v>
      </c>
      <c r="T69" s="367">
        <f t="shared" si="104"/>
        <v>0.20811249440013008</v>
      </c>
      <c r="U69" s="367">
        <f t="shared" si="104"/>
        <v>0.25124113462091596</v>
      </c>
      <c r="V69" s="367">
        <f t="shared" si="104"/>
        <v>0.21699398855360136</v>
      </c>
      <c r="W69" s="367">
        <f t="shared" si="104"/>
        <v>0.34246413678634746</v>
      </c>
      <c r="X69" s="367">
        <f t="shared" si="104"/>
        <v>0.47992568402196362</v>
      </c>
      <c r="Y69" s="367">
        <f t="shared" si="104"/>
        <v>0.38160223155351769</v>
      </c>
      <c r="Z69" s="367">
        <f t="shared" si="104"/>
        <v>0.55847377443232693</v>
      </c>
      <c r="AA69" s="367">
        <f t="shared" si="104"/>
        <v>0.35092930031415798</v>
      </c>
      <c r="AB69" s="367">
        <f t="shared" si="104"/>
        <v>0.23229072033232379</v>
      </c>
      <c r="AC69" s="367">
        <f t="shared" si="104"/>
        <v>0.41001595053878709</v>
      </c>
      <c r="AD69" s="367">
        <f t="shared" si="104"/>
        <v>0.55320603678515945</v>
      </c>
      <c r="AE69" s="367">
        <f t="shared" si="104"/>
        <v>0.3799615177979061</v>
      </c>
      <c r="AF69" s="367">
        <f t="shared" si="104"/>
        <v>0.25620071725560428</v>
      </c>
      <c r="AG69" s="367">
        <f t="shared" ref="AG69:BC69" si="105">AG67/AG56</f>
        <v>0.22605755601937214</v>
      </c>
      <c r="AH69" s="368">
        <f t="shared" si="105"/>
        <v>0.19952308744027122</v>
      </c>
      <c r="AI69" s="360" t="s">
        <v>566</v>
      </c>
      <c r="AJ69" s="369">
        <f t="shared" si="105"/>
        <v>0.15841137961220833</v>
      </c>
      <c r="AK69" s="367">
        <f t="shared" si="105"/>
        <v>0.14092840502529452</v>
      </c>
      <c r="AL69" s="367">
        <f t="shared" si="105"/>
        <v>0.10579150177303517</v>
      </c>
      <c r="AM69" s="367">
        <f t="shared" si="105"/>
        <v>8.2613154112879075E-2</v>
      </c>
      <c r="AN69" s="367">
        <f t="shared" si="105"/>
        <v>0.13992172913650236</v>
      </c>
      <c r="AO69" s="367">
        <f t="shared" si="105"/>
        <v>0.1015925207892128</v>
      </c>
      <c r="AP69" s="367">
        <f t="shared" si="105"/>
        <v>0.10793317028389636</v>
      </c>
      <c r="AQ69" s="367">
        <f t="shared" si="105"/>
        <v>8.7482925522995955E-2</v>
      </c>
      <c r="AR69" s="367">
        <f t="shared" si="105"/>
        <v>0.2899562024510301</v>
      </c>
      <c r="AS69" s="367">
        <f t="shared" si="105"/>
        <v>0.29107827605278341</v>
      </c>
      <c r="AT69" s="367">
        <f t="shared" si="105"/>
        <v>0.28069194679778181</v>
      </c>
      <c r="AU69" s="367">
        <f t="shared" si="105"/>
        <v>0.26852065334781683</v>
      </c>
      <c r="AV69" s="367">
        <f t="shared" si="105"/>
        <v>0.46735535196055117</v>
      </c>
      <c r="AW69" s="367">
        <f t="shared" si="105"/>
        <v>0.55289269614880288</v>
      </c>
      <c r="AX69" s="367">
        <f t="shared" si="105"/>
        <v>0.91362196498249315</v>
      </c>
      <c r="AY69" s="367">
        <f t="shared" si="105"/>
        <v>1.0445926079491341</v>
      </c>
      <c r="AZ69" s="367">
        <f t="shared" si="105"/>
        <v>0.8313060920647618</v>
      </c>
      <c r="BA69" s="367">
        <f t="shared" si="105"/>
        <v>0.7922213617678675</v>
      </c>
      <c r="BB69" s="367">
        <f t="shared" si="105"/>
        <v>0.57385939019565702</v>
      </c>
      <c r="BC69" s="367">
        <f t="shared" si="105"/>
        <v>0.56325619188937937</v>
      </c>
      <c r="BD69" s="367">
        <f>BD67/BD56</f>
        <v>0.42321096259198027</v>
      </c>
      <c r="BE69" s="367">
        <f t="shared" ref="BE69:BN69" si="106">BE67/(BE56-BE55)</f>
        <v>0.49951132901100298</v>
      </c>
      <c r="BF69" s="367">
        <f t="shared" si="106"/>
        <v>0.63067494408948011</v>
      </c>
      <c r="BG69" s="367">
        <f t="shared" si="106"/>
        <v>0.44442279020435227</v>
      </c>
      <c r="BH69" s="367">
        <f t="shared" si="106"/>
        <v>0.54552189979447485</v>
      </c>
      <c r="BI69" s="367">
        <f>BI67/(BI56-BI55)</f>
        <v>0.51885004670253598</v>
      </c>
      <c r="BJ69" s="367">
        <f t="shared" si="106"/>
        <v>0.62788924758168674</v>
      </c>
      <c r="BK69" s="367">
        <f t="shared" si="106"/>
        <v>0.63352119434452869</v>
      </c>
      <c r="BL69" s="367">
        <f t="shared" si="106"/>
        <v>0.73230880327443171</v>
      </c>
      <c r="BM69" s="367">
        <f t="shared" si="106"/>
        <v>0.46898907453575067</v>
      </c>
      <c r="BN69" s="367">
        <f t="shared" si="106"/>
        <v>0.57212687488924208</v>
      </c>
      <c r="BO69" s="367">
        <f t="shared" ref="BO69:CM69" si="107">BO67/(BO56-BO55)</f>
        <v>0.50984150803016481</v>
      </c>
      <c r="BP69" s="368">
        <f t="shared" si="107"/>
        <v>0.5960950628440228</v>
      </c>
      <c r="BQ69" s="360" t="s">
        <v>566</v>
      </c>
      <c r="BR69" s="369">
        <f t="shared" si="107"/>
        <v>0.53129688983651058</v>
      </c>
      <c r="BS69" s="367">
        <f t="shared" si="107"/>
        <v>0.5731600855557194</v>
      </c>
      <c r="BT69" s="367">
        <f t="shared" si="107"/>
        <v>0.57855372725035292</v>
      </c>
      <c r="BU69" s="367">
        <f t="shared" si="107"/>
        <v>0.55284181813413069</v>
      </c>
      <c r="BV69" s="367">
        <f t="shared" si="107"/>
        <v>0.88706753733786559</v>
      </c>
      <c r="BW69" s="367">
        <f t="shared" si="107"/>
        <v>0.82070501960966324</v>
      </c>
      <c r="BX69" s="367">
        <f t="shared" si="107"/>
        <v>1.3219063928198242</v>
      </c>
      <c r="BY69" s="367">
        <f t="shared" si="107"/>
        <v>1.231930447185879</v>
      </c>
      <c r="BZ69" s="367">
        <f t="shared" si="107"/>
        <v>1.1787299816111172</v>
      </c>
      <c r="CA69" s="367">
        <f t="shared" si="107"/>
        <v>1.1173333551116411</v>
      </c>
      <c r="CB69" s="367">
        <f t="shared" si="107"/>
        <v>1.0663703895935381</v>
      </c>
      <c r="CC69" s="367">
        <f t="shared" si="107"/>
        <v>1.0141603388739573</v>
      </c>
      <c r="CD69" s="367">
        <f t="shared" si="107"/>
        <v>0.97097161478432381</v>
      </c>
      <c r="CE69" s="367">
        <f t="shared" si="107"/>
        <v>0.915016164709886</v>
      </c>
      <c r="CF69" s="367">
        <f t="shared" si="107"/>
        <v>0.94136406062491662</v>
      </c>
      <c r="CG69" s="367">
        <f t="shared" si="107"/>
        <v>0.80383351867100161</v>
      </c>
      <c r="CH69" s="367">
        <f t="shared" si="107"/>
        <v>0.83648803875543121</v>
      </c>
      <c r="CI69" s="367">
        <f t="shared" si="107"/>
        <v>0.74886006320919352</v>
      </c>
      <c r="CJ69" s="367">
        <f t="shared" si="107"/>
        <v>0.61968049289610128</v>
      </c>
      <c r="CK69" s="367">
        <f t="shared" si="107"/>
        <v>0.5228380881323097</v>
      </c>
      <c r="CL69" s="367">
        <f t="shared" si="107"/>
        <v>0.67744405887280124</v>
      </c>
      <c r="CM69" s="367">
        <f t="shared" si="107"/>
        <v>0.67729124236252547</v>
      </c>
      <c r="CN69" s="367">
        <f t="shared" ref="CN69:CO69" si="108">CN67/(CN56-CN55)</f>
        <v>0.39686725976196785</v>
      </c>
      <c r="CO69" s="367">
        <f t="shared" si="108"/>
        <v>0.48724757269565883</v>
      </c>
      <c r="CP69" s="367">
        <f t="shared" ref="CP69:CU69" si="109">CP67/(CP56-CP55)</f>
        <v>0.32830660409670309</v>
      </c>
      <c r="CQ69" s="370">
        <f t="shared" si="109"/>
        <v>0.41362295079329059</v>
      </c>
      <c r="CR69" s="367">
        <f t="shared" si="109"/>
        <v>0.36798093070493848</v>
      </c>
      <c r="CS69" s="370">
        <f t="shared" si="109"/>
        <v>0.41556720511019696</v>
      </c>
      <c r="CT69" s="367">
        <f t="shared" si="109"/>
        <v>0.79455934494069091</v>
      </c>
      <c r="CU69" s="370">
        <f t="shared" si="109"/>
        <v>0.78030508682364685</v>
      </c>
      <c r="CV69" s="367">
        <f>CV67/(CV56-CV55)</f>
        <v>0.54438008986408881</v>
      </c>
      <c r="CW69" s="370">
        <f t="shared" ref="CW69:CY69" si="110">CW67/(CW56-CW55)</f>
        <v>0.55457498064979649</v>
      </c>
      <c r="CX69" s="367">
        <f>CX67/(CX56-CX55)</f>
        <v>0.29841997333720943</v>
      </c>
      <c r="CY69" s="368">
        <f t="shared" si="110"/>
        <v>0.5577351028502906</v>
      </c>
      <c r="CZ69" s="351"/>
      <c r="DA69" s="351"/>
      <c r="DB69" s="351"/>
      <c r="DC69" s="351"/>
      <c r="DD69" s="375" t="s">
        <v>578</v>
      </c>
      <c r="DE69" s="245"/>
      <c r="DF69" s="245"/>
      <c r="DG69" s="641"/>
      <c r="DH69" s="405">
        <v>0.50900000000000001</v>
      </c>
      <c r="DI69" s="404">
        <v>0.42</v>
      </c>
      <c r="DJ69" s="377">
        <v>0.41799999999999998</v>
      </c>
      <c r="DK69" s="377">
        <v>0.41699999999999998</v>
      </c>
      <c r="DL69" s="377">
        <v>0.39300000000000002</v>
      </c>
      <c r="DM69" s="377">
        <v>0.36099999999999999</v>
      </c>
      <c r="DN69" s="377">
        <v>0.34899999999999998</v>
      </c>
      <c r="DO69" s="377">
        <v>0.33200000000000002</v>
      </c>
      <c r="DP69" s="377">
        <v>0.32700000000000001</v>
      </c>
      <c r="DQ69" s="378">
        <v>0.313</v>
      </c>
    </row>
    <row r="70" spans="1:121" ht="23.1" customHeight="1">
      <c r="A70" s="360" t="s">
        <v>567</v>
      </c>
      <c r="B70" s="366"/>
      <c r="C70" s="367"/>
      <c r="D70" s="367"/>
      <c r="E70" s="367"/>
      <c r="F70" s="367"/>
      <c r="G70" s="367"/>
      <c r="H70" s="367"/>
      <c r="I70" s="367"/>
      <c r="J70" s="367"/>
      <c r="K70" s="367"/>
      <c r="L70" s="367"/>
      <c r="M70" s="367"/>
      <c r="N70" s="367"/>
      <c r="O70" s="367"/>
      <c r="P70" s="367"/>
      <c r="Q70" s="367"/>
      <c r="R70" s="367"/>
      <c r="S70" s="367"/>
      <c r="T70" s="367"/>
      <c r="U70" s="367"/>
      <c r="V70" s="367"/>
      <c r="W70" s="367"/>
      <c r="X70" s="367"/>
      <c r="Y70" s="367"/>
      <c r="Z70" s="367"/>
      <c r="AA70" s="367"/>
      <c r="AB70" s="367"/>
      <c r="AC70" s="367"/>
      <c r="AD70" s="367"/>
      <c r="AE70" s="367"/>
      <c r="AF70" s="367"/>
      <c r="AG70" s="367"/>
      <c r="AH70" s="368"/>
      <c r="AI70" s="360" t="s">
        <v>567</v>
      </c>
      <c r="AJ70" s="369"/>
      <c r="AK70" s="367"/>
      <c r="AL70" s="367"/>
      <c r="AM70" s="367"/>
      <c r="AN70" s="367"/>
      <c r="AO70" s="367"/>
      <c r="AP70" s="367"/>
      <c r="AQ70" s="367"/>
      <c r="AR70" s="367"/>
      <c r="AS70" s="367"/>
      <c r="AT70" s="367"/>
      <c r="AU70" s="367"/>
      <c r="AV70" s="367"/>
      <c r="AW70" s="367"/>
      <c r="AX70" s="367"/>
      <c r="AY70" s="367"/>
      <c r="AZ70" s="367"/>
      <c r="BA70" s="367"/>
      <c r="BB70" s="367"/>
      <c r="BC70" s="367"/>
      <c r="BD70" s="367"/>
      <c r="BE70" s="367"/>
      <c r="BF70" s="367"/>
      <c r="BG70" s="367"/>
      <c r="BH70" s="367"/>
      <c r="BI70" s="367"/>
      <c r="BJ70" s="367"/>
      <c r="BK70" s="367"/>
      <c r="BL70" s="367"/>
      <c r="BM70" s="367"/>
      <c r="BN70" s="367"/>
      <c r="BO70" s="367"/>
      <c r="BP70" s="368"/>
      <c r="BQ70" s="360" t="s">
        <v>567</v>
      </c>
      <c r="BR70" s="369"/>
      <c r="BS70" s="367"/>
      <c r="BT70" s="367"/>
      <c r="BU70" s="367"/>
      <c r="BV70" s="367"/>
      <c r="BW70" s="367"/>
      <c r="BX70" s="367"/>
      <c r="BY70" s="367"/>
      <c r="BZ70" s="367"/>
      <c r="CA70" s="367"/>
      <c r="CB70" s="367"/>
      <c r="CC70" s="367"/>
      <c r="CD70" s="367"/>
      <c r="CE70" s="367"/>
      <c r="CF70" s="367"/>
      <c r="CG70" s="367"/>
      <c r="CH70" s="367"/>
      <c r="CI70" s="367"/>
      <c r="CJ70" s="367"/>
      <c r="CK70" s="367"/>
      <c r="CL70" s="367"/>
      <c r="CM70" s="367"/>
      <c r="CN70" s="367"/>
      <c r="CO70" s="367"/>
      <c r="CP70" s="380"/>
      <c r="CQ70" s="381"/>
      <c r="CR70" s="380"/>
      <c r="CS70" s="381"/>
      <c r="CT70" s="380"/>
      <c r="CU70" s="381"/>
      <c r="CV70" s="380"/>
      <c r="CW70" s="381"/>
      <c r="CX70" s="380"/>
      <c r="CY70" s="382"/>
      <c r="CZ70" s="351"/>
      <c r="DA70" s="351"/>
      <c r="DB70" s="351"/>
      <c r="DC70" s="351"/>
      <c r="DD70" s="244"/>
      <c r="DE70" s="245"/>
      <c r="DF70" s="245"/>
      <c r="DG70" s="636" t="s">
        <v>521</v>
      </c>
      <c r="DH70" s="400" t="s">
        <v>519</v>
      </c>
      <c r="DI70" s="254" t="s">
        <v>512</v>
      </c>
      <c r="DJ70" s="254" t="s">
        <v>513</v>
      </c>
      <c r="DK70" s="254" t="s">
        <v>504</v>
      </c>
      <c r="DL70" s="254" t="s">
        <v>516</v>
      </c>
      <c r="DM70" s="254" t="s">
        <v>508</v>
      </c>
      <c r="DN70" s="254" t="s">
        <v>515</v>
      </c>
      <c r="DO70" s="254" t="s">
        <v>503</v>
      </c>
      <c r="DP70" s="254" t="s">
        <v>507</v>
      </c>
      <c r="DQ70" s="255" t="s">
        <v>509</v>
      </c>
    </row>
    <row r="71" spans="1:121" ht="23.1" customHeight="1" thickBot="1">
      <c r="A71" s="371" t="s">
        <v>552</v>
      </c>
      <c r="B71" s="359">
        <v>0</v>
      </c>
      <c r="C71" s="92">
        <f>2.22368804+0.03571903</f>
        <v>2.25940707</v>
      </c>
      <c r="D71" s="92">
        <f>0.02261415+13.1757649</f>
        <v>13.198379050000002</v>
      </c>
      <c r="E71" s="92">
        <f>10.93588607+0.094775</f>
        <v>11.030661070000001</v>
      </c>
      <c r="F71" s="92">
        <f>10.15739253+0.0965899</f>
        <v>10.253982429999999</v>
      </c>
      <c r="G71" s="92">
        <f>0.19896919+2.54289675</f>
        <v>2.7418659400000003</v>
      </c>
      <c r="H71" s="92">
        <v>37.58177293</v>
      </c>
      <c r="I71" s="92">
        <v>189.82761880000001</v>
      </c>
      <c r="J71" s="92">
        <v>233.35091600000001</v>
      </c>
      <c r="K71" s="92">
        <v>181.429892</v>
      </c>
      <c r="L71" s="92">
        <v>337.46834899999999</v>
      </c>
      <c r="M71" s="92">
        <v>402.18751500000002</v>
      </c>
      <c r="N71" s="92">
        <v>994.293588</v>
      </c>
      <c r="O71" s="92">
        <v>1908.045085</v>
      </c>
      <c r="P71" s="92">
        <v>1662.7095790000001</v>
      </c>
      <c r="Q71" s="92">
        <v>1856.018225</v>
      </c>
      <c r="R71" s="92">
        <v>2669.9462629999998</v>
      </c>
      <c r="S71" s="92">
        <v>3823.1461129999998</v>
      </c>
      <c r="T71" s="92">
        <v>3185.248145</v>
      </c>
      <c r="U71" s="92">
        <v>3412.5047679999998</v>
      </c>
      <c r="V71" s="92">
        <v>3949.1156110000002</v>
      </c>
      <c r="W71" s="92">
        <v>2931.594658</v>
      </c>
      <c r="X71" s="92">
        <v>4385.2159499999998</v>
      </c>
      <c r="Y71" s="92">
        <v>5056.3626869999998</v>
      </c>
      <c r="Z71" s="92">
        <v>7038.809577</v>
      </c>
      <c r="AA71" s="92">
        <v>8213.7013029999998</v>
      </c>
      <c r="AB71" s="92">
        <v>11134.523834</v>
      </c>
      <c r="AC71" s="92">
        <v>11428.438306</v>
      </c>
      <c r="AD71" s="92">
        <v>15131.824103999999</v>
      </c>
      <c r="AE71" s="92">
        <v>21435.461268999999</v>
      </c>
      <c r="AF71" s="92">
        <v>23434.899430000001</v>
      </c>
      <c r="AG71" s="92">
        <v>28783.588170999999</v>
      </c>
      <c r="AH71" s="270">
        <v>26238.92124</v>
      </c>
      <c r="AI71" s="371" t="s">
        <v>552</v>
      </c>
      <c r="AJ71" s="301">
        <v>23012.931773</v>
      </c>
      <c r="AK71" s="92">
        <v>27935.221033000002</v>
      </c>
      <c r="AL71" s="92">
        <v>30360.602730999999</v>
      </c>
      <c r="AM71" s="92">
        <v>28773.100999999999</v>
      </c>
      <c r="AN71" s="92">
        <v>23194.894</v>
      </c>
      <c r="AO71" s="92">
        <v>29223.172193999999</v>
      </c>
      <c r="AP71" s="92">
        <v>29332.105724000001</v>
      </c>
      <c r="AQ71" s="92">
        <v>39708.371053000003</v>
      </c>
      <c r="AR71" s="92">
        <v>52257.332301000002</v>
      </c>
      <c r="AS71" s="92">
        <v>60268.365548000002</v>
      </c>
      <c r="AT71" s="92">
        <v>50897.444732999997</v>
      </c>
      <c r="AU71" s="92">
        <v>46045.865259999999</v>
      </c>
      <c r="AV71" s="92">
        <v>56742.785818999997</v>
      </c>
      <c r="AW71" s="92">
        <v>53929.363746000003</v>
      </c>
      <c r="AX71" s="92">
        <v>64379.152906000003</v>
      </c>
      <c r="AY71" s="92">
        <v>64290.479807999996</v>
      </c>
      <c r="AZ71" s="92">
        <v>44007.628977</v>
      </c>
      <c r="BA71" s="92">
        <v>54824.096528000002</v>
      </c>
      <c r="BB71" s="92">
        <v>33506.988877999996</v>
      </c>
      <c r="BC71" s="92">
        <v>49225.868267999998</v>
      </c>
      <c r="BD71" s="92">
        <v>52737</v>
      </c>
      <c r="BE71" s="92">
        <v>60511</v>
      </c>
      <c r="BF71" s="92">
        <v>67958</v>
      </c>
      <c r="BG71" s="92">
        <v>59467</v>
      </c>
      <c r="BH71" s="92">
        <v>64705</v>
      </c>
      <c r="BI71" s="92">
        <v>48697</v>
      </c>
      <c r="BJ71" s="92">
        <v>54482</v>
      </c>
      <c r="BK71" s="92">
        <v>54591</v>
      </c>
      <c r="BL71" s="92">
        <v>58733</v>
      </c>
      <c r="BM71" s="92">
        <v>30015</v>
      </c>
      <c r="BN71" s="92">
        <v>32487</v>
      </c>
      <c r="BO71" s="92">
        <v>51504</v>
      </c>
      <c r="BP71" s="270">
        <v>59789</v>
      </c>
      <c r="BQ71" s="371" t="s">
        <v>552</v>
      </c>
      <c r="BR71" s="301">
        <v>25853</v>
      </c>
      <c r="BS71" s="92">
        <v>28790</v>
      </c>
      <c r="BT71" s="92">
        <v>25030</v>
      </c>
      <c r="BU71" s="92">
        <v>27582</v>
      </c>
      <c r="BV71" s="92">
        <v>24357</v>
      </c>
      <c r="BW71" s="92">
        <v>26408</v>
      </c>
      <c r="BX71" s="92">
        <v>26912</v>
      </c>
      <c r="BY71" s="92">
        <v>28989</v>
      </c>
      <c r="BZ71" s="92">
        <v>27117</v>
      </c>
      <c r="CA71" s="92">
        <v>29216</v>
      </c>
      <c r="CB71" s="92">
        <v>23879</v>
      </c>
      <c r="CC71" s="92">
        <v>26472</v>
      </c>
      <c r="CD71" s="92">
        <v>29852</v>
      </c>
      <c r="CE71" s="92">
        <v>33398</v>
      </c>
      <c r="CF71" s="92">
        <v>32116</v>
      </c>
      <c r="CG71" s="92">
        <v>35002</v>
      </c>
      <c r="CH71" s="92">
        <v>17047</v>
      </c>
      <c r="CI71" s="92">
        <v>21174</v>
      </c>
      <c r="CJ71" s="92">
        <v>20606</v>
      </c>
      <c r="CK71" s="92">
        <v>26252</v>
      </c>
      <c r="CL71" s="92">
        <v>19695</v>
      </c>
      <c r="CM71" s="92">
        <v>25789</v>
      </c>
      <c r="CN71" s="92">
        <v>52341.649958000002</v>
      </c>
      <c r="CO71" s="92">
        <v>66803.909807999997</v>
      </c>
      <c r="CP71" s="92">
        <v>71282.983124999999</v>
      </c>
      <c r="CQ71" s="269">
        <v>102475.365749</v>
      </c>
      <c r="CR71" s="92">
        <v>36340</v>
      </c>
      <c r="CS71" s="269">
        <v>57949</v>
      </c>
      <c r="CT71" s="92">
        <v>25325</v>
      </c>
      <c r="CU71" s="269">
        <v>119198</v>
      </c>
      <c r="CV71" s="92">
        <v>34345</v>
      </c>
      <c r="CW71" s="269">
        <v>100687</v>
      </c>
      <c r="CX71" s="92">
        <v>27174</v>
      </c>
      <c r="CY71" s="270">
        <v>78035</v>
      </c>
      <c r="CZ71" s="351"/>
      <c r="DA71" s="351"/>
      <c r="DB71" s="351"/>
      <c r="DC71" s="351"/>
      <c r="DD71" s="244"/>
      <c r="DE71" s="245"/>
      <c r="DF71" s="245"/>
      <c r="DG71" s="641"/>
      <c r="DH71" s="405">
        <v>0.374</v>
      </c>
      <c r="DI71" s="377">
        <v>0.35699999999999998</v>
      </c>
      <c r="DJ71" s="377">
        <v>0.35299999999999998</v>
      </c>
      <c r="DK71" s="377">
        <v>0.34499999999999997</v>
      </c>
      <c r="DL71" s="377">
        <v>0.33300000000000002</v>
      </c>
      <c r="DM71" s="377">
        <v>0.32300000000000001</v>
      </c>
      <c r="DN71" s="377">
        <v>0.32300000000000001</v>
      </c>
      <c r="DO71" s="377">
        <v>0.32</v>
      </c>
      <c r="DP71" s="377">
        <v>0.318</v>
      </c>
      <c r="DQ71" s="378">
        <v>0.314</v>
      </c>
    </row>
    <row r="72" spans="1:121" ht="23.1" customHeight="1">
      <c r="A72" s="360" t="s">
        <v>579</v>
      </c>
      <c r="B72" s="359">
        <f t="shared" ref="B72:AG72" si="111">B67-B71</f>
        <v>0</v>
      </c>
      <c r="C72" s="92">
        <f t="shared" si="111"/>
        <v>3.5905929299999997</v>
      </c>
      <c r="D72" s="92">
        <f t="shared" si="111"/>
        <v>-2.1983790500000016</v>
      </c>
      <c r="E72" s="92">
        <f t="shared" si="111"/>
        <v>9.9693389299999993</v>
      </c>
      <c r="F72" s="92">
        <f t="shared" si="111"/>
        <v>27.448717569999999</v>
      </c>
      <c r="G72" s="92">
        <f>G67-G71</f>
        <v>41.258134060000003</v>
      </c>
      <c r="H72" s="92">
        <f t="shared" si="111"/>
        <v>62.41822707</v>
      </c>
      <c r="I72" s="92">
        <f t="shared" si="111"/>
        <v>35.612381199999987</v>
      </c>
      <c r="J72" s="92">
        <f t="shared" si="111"/>
        <v>-133.35091600000001</v>
      </c>
      <c r="K72" s="92">
        <f t="shared" si="111"/>
        <v>18.570108000000005</v>
      </c>
      <c r="L72" s="92">
        <f t="shared" si="111"/>
        <v>565.03926200000001</v>
      </c>
      <c r="M72" s="92">
        <f t="shared" si="111"/>
        <v>964.31616299999996</v>
      </c>
      <c r="N72" s="92">
        <f t="shared" si="111"/>
        <v>-498.25458800000001</v>
      </c>
      <c r="O72" s="92">
        <f t="shared" si="111"/>
        <v>-1441.3950850000001</v>
      </c>
      <c r="P72" s="92">
        <f t="shared" si="111"/>
        <v>-1382.7095790000001</v>
      </c>
      <c r="Q72" s="92">
        <f t="shared" si="111"/>
        <v>-750.59822499999996</v>
      </c>
      <c r="R72" s="92">
        <f t="shared" si="111"/>
        <v>-1472.8171649999999</v>
      </c>
      <c r="S72" s="92">
        <f t="shared" si="111"/>
        <v>-2579.0490089999998</v>
      </c>
      <c r="T72" s="92">
        <f t="shared" si="111"/>
        <v>-1745.5379929999999</v>
      </c>
      <c r="U72" s="92">
        <f t="shared" si="111"/>
        <v>-1490.1561619999998</v>
      </c>
      <c r="V72" s="92">
        <f t="shared" si="111"/>
        <v>-2116.8774040000003</v>
      </c>
      <c r="W72" s="92">
        <f t="shared" si="111"/>
        <v>243.891435</v>
      </c>
      <c r="X72" s="92">
        <f t="shared" si="111"/>
        <v>513.40805900000032</v>
      </c>
      <c r="Y72" s="92">
        <f t="shared" si="111"/>
        <v>2.3915500000002794</v>
      </c>
      <c r="Z72" s="92">
        <f t="shared" si="111"/>
        <v>1646.7666449999997</v>
      </c>
      <c r="AA72" s="92">
        <f t="shared" si="111"/>
        <v>-113.97069999999985</v>
      </c>
      <c r="AB72" s="92">
        <f t="shared" si="111"/>
        <v>-3298.0748009999998</v>
      </c>
      <c r="AC72" s="92">
        <f t="shared" si="111"/>
        <v>3612.5656199999994</v>
      </c>
      <c r="AD72" s="92">
        <f t="shared" si="111"/>
        <v>6364.3561450000016</v>
      </c>
      <c r="AE72" s="92">
        <f t="shared" si="111"/>
        <v>-4544.4715829999986</v>
      </c>
      <c r="AF72" s="92">
        <f t="shared" si="111"/>
        <v>-10872.560955000001</v>
      </c>
      <c r="AG72" s="92">
        <f t="shared" si="111"/>
        <v>-16795.802554000002</v>
      </c>
      <c r="AH72" s="270">
        <f t="shared" ref="AH72:BN72" si="112">AH67-AH71</f>
        <v>-14784.128613999999</v>
      </c>
      <c r="AI72" s="360" t="s">
        <v>579</v>
      </c>
      <c r="AJ72" s="301">
        <f t="shared" si="112"/>
        <v>-13220.126480999999</v>
      </c>
      <c r="AK72" s="92">
        <f t="shared" si="112"/>
        <v>-18505.018033</v>
      </c>
      <c r="AL72" s="92">
        <f t="shared" si="112"/>
        <v>-22217.356731</v>
      </c>
      <c r="AM72" s="92">
        <f t="shared" si="112"/>
        <v>-21881.245999999999</v>
      </c>
      <c r="AN72" s="92">
        <f t="shared" si="112"/>
        <v>-10620.955</v>
      </c>
      <c r="AO72" s="92">
        <f t="shared" si="112"/>
        <v>-19375.446174999997</v>
      </c>
      <c r="AP72" s="92">
        <f t="shared" si="112"/>
        <v>-18152.286324000001</v>
      </c>
      <c r="AQ72" s="92">
        <f t="shared" si="112"/>
        <v>-30318.818944000006</v>
      </c>
      <c r="AR72" s="92">
        <f t="shared" si="112"/>
        <v>-19898.794326000003</v>
      </c>
      <c r="AS72" s="92">
        <f t="shared" si="112"/>
        <v>-27850.770953000003</v>
      </c>
      <c r="AT72" s="92">
        <f t="shared" si="112"/>
        <v>-17893.794312999999</v>
      </c>
      <c r="AU72" s="92">
        <f t="shared" si="112"/>
        <v>-10531.813359</v>
      </c>
      <c r="AV72" s="92">
        <f t="shared" si="112"/>
        <v>9761.7464980000077</v>
      </c>
      <c r="AW72" s="92">
        <f t="shared" si="112"/>
        <v>26997.201881999994</v>
      </c>
      <c r="AX72" s="92">
        <f t="shared" si="112"/>
        <v>71267.863507000002</v>
      </c>
      <c r="AY72" s="92">
        <f t="shared" si="112"/>
        <v>95257.26304999998</v>
      </c>
      <c r="AZ72" s="92">
        <f t="shared" si="112"/>
        <v>85623.566676999995</v>
      </c>
      <c r="BA72" s="92">
        <f t="shared" si="112"/>
        <v>72145.804126000003</v>
      </c>
      <c r="BB72" s="92">
        <f t="shared" si="112"/>
        <v>62275.749133000012</v>
      </c>
      <c r="BC72" s="92">
        <f t="shared" si="112"/>
        <v>44890.012347000004</v>
      </c>
      <c r="BD72" s="92">
        <f t="shared" si="112"/>
        <v>31577</v>
      </c>
      <c r="BE72" s="92">
        <f t="shared" si="112"/>
        <v>13767</v>
      </c>
      <c r="BF72" s="92">
        <f t="shared" si="112"/>
        <v>33565</v>
      </c>
      <c r="BG72" s="92">
        <f t="shared" si="112"/>
        <v>13325</v>
      </c>
      <c r="BH72" s="92">
        <f t="shared" si="112"/>
        <v>30921</v>
      </c>
      <c r="BI72" s="92">
        <f t="shared" si="112"/>
        <v>33263</v>
      </c>
      <c r="BJ72" s="92">
        <f t="shared" si="112"/>
        <v>52279</v>
      </c>
      <c r="BK72" s="92">
        <f t="shared" si="112"/>
        <v>37793</v>
      </c>
      <c r="BL72" s="92">
        <f t="shared" si="112"/>
        <v>59617</v>
      </c>
      <c r="BM72" s="92">
        <f t="shared" si="112"/>
        <v>41770</v>
      </c>
      <c r="BN72" s="92">
        <f t="shared" si="112"/>
        <v>64752</v>
      </c>
      <c r="BO72" s="92">
        <f t="shared" ref="BO72:CP72" si="113">BO67-BO71</f>
        <v>26818</v>
      </c>
      <c r="BP72" s="270">
        <f t="shared" si="113"/>
        <v>41875</v>
      </c>
      <c r="BQ72" s="360" t="s">
        <v>579</v>
      </c>
      <c r="BR72" s="301">
        <f t="shared" si="113"/>
        <v>61696</v>
      </c>
      <c r="BS72" s="92">
        <f t="shared" si="113"/>
        <v>77302</v>
      </c>
      <c r="BT72" s="92">
        <f t="shared" si="113"/>
        <v>72301</v>
      </c>
      <c r="BU72" s="92">
        <f t="shared" si="113"/>
        <v>77809</v>
      </c>
      <c r="BV72" s="92">
        <f t="shared" si="113"/>
        <v>70885</v>
      </c>
      <c r="BW72" s="92">
        <f t="shared" si="113"/>
        <v>79687</v>
      </c>
      <c r="BX72" s="92">
        <f t="shared" si="113"/>
        <v>99224</v>
      </c>
      <c r="BY72" s="92">
        <f t="shared" si="113"/>
        <v>116109</v>
      </c>
      <c r="BZ72" s="92">
        <f t="shared" si="113"/>
        <v>90689</v>
      </c>
      <c r="CA72" s="92">
        <f t="shared" si="113"/>
        <v>107597</v>
      </c>
      <c r="CB72" s="92">
        <f t="shared" si="113"/>
        <v>74740</v>
      </c>
      <c r="CC72" s="92">
        <f t="shared" si="113"/>
        <v>90125</v>
      </c>
      <c r="CD72" s="92">
        <f t="shared" si="113"/>
        <v>60728</v>
      </c>
      <c r="CE72" s="92">
        <f t="shared" si="113"/>
        <v>74153</v>
      </c>
      <c r="CF72" s="92">
        <f t="shared" si="113"/>
        <v>52603</v>
      </c>
      <c r="CG72" s="92">
        <f t="shared" si="113"/>
        <v>59692</v>
      </c>
      <c r="CH72" s="92">
        <f t="shared" si="113"/>
        <v>66698</v>
      </c>
      <c r="CI72" s="92">
        <f t="shared" si="113"/>
        <v>71946</v>
      </c>
      <c r="CJ72" s="92">
        <f t="shared" si="113"/>
        <v>53017</v>
      </c>
      <c r="CK72" s="92">
        <f t="shared" si="113"/>
        <v>53634</v>
      </c>
      <c r="CL72" s="92">
        <f t="shared" si="113"/>
        <v>65226</v>
      </c>
      <c r="CM72" s="92">
        <f t="shared" si="113"/>
        <v>80627</v>
      </c>
      <c r="CN72" s="92">
        <f t="shared" ref="CN72" si="114">CN67-CN71</f>
        <v>7658.3500419999982</v>
      </c>
      <c r="CO72" s="92">
        <f>CO67-CO71-1</f>
        <v>26037.528191999998</v>
      </c>
      <c r="CP72" s="92">
        <f t="shared" si="113"/>
        <v>-14282.983124999999</v>
      </c>
      <c r="CQ72" s="269">
        <f>CQ67-CQ71</f>
        <v>-11025.870229000007</v>
      </c>
      <c r="CR72" s="92">
        <f t="shared" ref="CR72:CT72" si="115">CR67-CR71</f>
        <v>33603</v>
      </c>
      <c r="CS72" s="269">
        <f>CS67-CS71</f>
        <v>41458</v>
      </c>
      <c r="CT72" s="92">
        <f t="shared" si="115"/>
        <v>123853</v>
      </c>
      <c r="CU72" s="269">
        <f>CU67-CU71</f>
        <v>59019</v>
      </c>
      <c r="CV72" s="92">
        <f>CV67-CV71</f>
        <v>92646</v>
      </c>
      <c r="CW72" s="269">
        <f>CW67-CW71</f>
        <v>49061</v>
      </c>
      <c r="CX72" s="92">
        <f>CX67-CX71</f>
        <v>46033</v>
      </c>
      <c r="CY72" s="270">
        <f>CY67-CY71</f>
        <v>115450</v>
      </c>
      <c r="CZ72" s="351"/>
      <c r="DA72" s="351"/>
      <c r="DB72" s="351"/>
      <c r="DC72" s="351"/>
      <c r="DD72" s="263"/>
      <c r="DE72" s="351"/>
      <c r="DF72" s="351"/>
    </row>
    <row r="73" spans="1:121" ht="23.1" customHeight="1">
      <c r="A73" s="360" t="s">
        <v>580</v>
      </c>
      <c r="B73" s="366">
        <f t="shared" ref="B73:F73" si="116">B72/B56</f>
        <v>0</v>
      </c>
      <c r="C73" s="367">
        <f t="shared" si="116"/>
        <v>2.3937286199999996</v>
      </c>
      <c r="D73" s="367">
        <f t="shared" si="116"/>
        <v>-0.27092191271238963</v>
      </c>
      <c r="E73" s="367">
        <f t="shared" si="116"/>
        <v>0.71380668346359677</v>
      </c>
      <c r="F73" s="367">
        <f t="shared" si="116"/>
        <v>0.82138924417586856</v>
      </c>
      <c r="G73" s="367">
        <f>G72/G56</f>
        <v>1.019566318533619</v>
      </c>
      <c r="H73" s="367">
        <f t="shared" ref="H73:BD73" si="117">H72/H56</f>
        <v>0.78804273007218217</v>
      </c>
      <c r="I73" s="367">
        <f t="shared" si="117"/>
        <v>0.35261427037608828</v>
      </c>
      <c r="J73" s="367">
        <f t="shared" si="117"/>
        <v>-0.63193939265643895</v>
      </c>
      <c r="K73" s="367">
        <f t="shared" si="117"/>
        <v>5.1474829128191811E-2</v>
      </c>
      <c r="L73" s="367">
        <f t="shared" si="117"/>
        <v>1.0825220486947347</v>
      </c>
      <c r="M73" s="367">
        <f t="shared" si="117"/>
        <v>1.3258773577208327</v>
      </c>
      <c r="N73" s="367">
        <f t="shared" si="117"/>
        <v>-0.50031672845015118</v>
      </c>
      <c r="O73" s="367">
        <f t="shared" si="117"/>
        <v>-0.92213926223925746</v>
      </c>
      <c r="P73" s="367">
        <f t="shared" si="117"/>
        <v>-0.91730610731056805</v>
      </c>
      <c r="Q73" s="367">
        <f t="shared" si="117"/>
        <v>-0.23089763647661588</v>
      </c>
      <c r="R73" s="367">
        <f t="shared" si="117"/>
        <v>-0.2951343812033293</v>
      </c>
      <c r="S73" s="367">
        <f t="shared" si="117"/>
        <v>-0.37813209838254846</v>
      </c>
      <c r="T73" s="367">
        <f t="shared" si="117"/>
        <v>-0.25232041691779827</v>
      </c>
      <c r="U73" s="367">
        <f t="shared" si="117"/>
        <v>-0.19475579181356317</v>
      </c>
      <c r="V73" s="367">
        <f t="shared" si="117"/>
        <v>-0.25070412210487947</v>
      </c>
      <c r="W73" s="367">
        <f t="shared" si="117"/>
        <v>2.6302766666488616E-2</v>
      </c>
      <c r="X73" s="367">
        <f t="shared" si="117"/>
        <v>5.0299372526911523E-2</v>
      </c>
      <c r="Y73" s="367">
        <f t="shared" si="117"/>
        <v>1.804042604396482E-4</v>
      </c>
      <c r="Z73" s="367">
        <f t="shared" si="117"/>
        <v>0.10588543124092678</v>
      </c>
      <c r="AA73" s="367">
        <f t="shared" si="117"/>
        <v>-4.9378997855189224E-3</v>
      </c>
      <c r="AB73" s="367">
        <f t="shared" si="117"/>
        <v>-9.7762668781230799E-2</v>
      </c>
      <c r="AC73" s="367">
        <f t="shared" si="117"/>
        <v>9.8478102515990429E-2</v>
      </c>
      <c r="AD73" s="367">
        <f t="shared" si="117"/>
        <v>0.16378724958954111</v>
      </c>
      <c r="AE73" s="367">
        <f t="shared" si="117"/>
        <v>-0.10222753979284696</v>
      </c>
      <c r="AF73" s="367">
        <f t="shared" si="117"/>
        <v>-0.22173880449247155</v>
      </c>
      <c r="AG73" s="367">
        <f t="shared" si="117"/>
        <v>-0.31672388863518403</v>
      </c>
      <c r="AH73" s="368">
        <f t="shared" si="117"/>
        <v>-0.25751448170994917</v>
      </c>
      <c r="AI73" s="360" t="s">
        <v>580</v>
      </c>
      <c r="AJ73" s="369">
        <f t="shared" si="117"/>
        <v>-0.21385276353997568</v>
      </c>
      <c r="AK73" s="367">
        <f t="shared" si="117"/>
        <v>-0.27654576220204413</v>
      </c>
      <c r="AL73" s="367">
        <f t="shared" si="117"/>
        <v>-0.28863275578310432</v>
      </c>
      <c r="AM73" s="367">
        <f t="shared" si="117"/>
        <v>-0.26229204589763117</v>
      </c>
      <c r="AN73" s="367">
        <f t="shared" si="117"/>
        <v>-0.11818908845358486</v>
      </c>
      <c r="AO73" s="367">
        <f t="shared" si="117"/>
        <v>-0.19988375128797953</v>
      </c>
      <c r="AP73" s="367">
        <f t="shared" si="117"/>
        <v>-0.17524735782854731</v>
      </c>
      <c r="AQ73" s="367">
        <f t="shared" si="117"/>
        <v>-0.28248194896120915</v>
      </c>
      <c r="AR73" s="367">
        <f t="shared" si="117"/>
        <v>-0.17830777276089421</v>
      </c>
      <c r="AS73" s="367">
        <f t="shared" si="117"/>
        <v>-0.2500726687781622</v>
      </c>
      <c r="AT73" s="367">
        <f t="shared" si="117"/>
        <v>-0.15218449769639289</v>
      </c>
      <c r="AU73" s="367">
        <f t="shared" si="117"/>
        <v>-7.9630716652084252E-2</v>
      </c>
      <c r="AV73" s="367">
        <f t="shared" si="117"/>
        <v>6.8599903064896411E-2</v>
      </c>
      <c r="AW73" s="367">
        <f t="shared" si="117"/>
        <v>0.18444568382682031</v>
      </c>
      <c r="AX73" s="367">
        <f t="shared" si="117"/>
        <v>0.48000971358725242</v>
      </c>
      <c r="AY73" s="367">
        <f t="shared" si="117"/>
        <v>0.6236693233827646</v>
      </c>
      <c r="AZ73" s="367">
        <f t="shared" si="117"/>
        <v>0.54909153806533662</v>
      </c>
      <c r="BA73" s="367">
        <f t="shared" si="117"/>
        <v>0.45014957794043886</v>
      </c>
      <c r="BB73" s="367">
        <f t="shared" si="117"/>
        <v>0.37311027188778928</v>
      </c>
      <c r="BC73" s="367">
        <f t="shared" si="117"/>
        <v>0.2686536771819637</v>
      </c>
      <c r="BD73" s="367">
        <f t="shared" si="117"/>
        <v>0.15849956787445693</v>
      </c>
      <c r="BE73" s="367">
        <f t="shared" ref="BE73:BN73" si="118">BE72/(BE56-BE55)</f>
        <v>9.2581551286982394E-2</v>
      </c>
      <c r="BF73" s="367">
        <f t="shared" si="118"/>
        <v>0.20851043111771123</v>
      </c>
      <c r="BG73" s="367">
        <f t="shared" si="118"/>
        <v>8.1354182869999361E-2</v>
      </c>
      <c r="BH73" s="367">
        <f t="shared" si="118"/>
        <v>0.17639640540799528</v>
      </c>
      <c r="BI73" s="367">
        <f t="shared" si="118"/>
        <v>0.21057234142833645</v>
      </c>
      <c r="BJ73" s="367">
        <f t="shared" si="118"/>
        <v>0.30746641539816039</v>
      </c>
      <c r="BK73" s="367">
        <f t="shared" si="118"/>
        <v>0.25916464428756902</v>
      </c>
      <c r="BL73" s="367">
        <f t="shared" si="118"/>
        <v>0.36888934452734934</v>
      </c>
      <c r="BM73" s="367">
        <f t="shared" si="118"/>
        <v>0.27289369148649861</v>
      </c>
      <c r="BN73" s="367">
        <f t="shared" si="118"/>
        <v>0.38098252144538924</v>
      </c>
      <c r="BO73" s="367">
        <f t="shared" ref="BO73:CQ73" si="119">BO72/(BO56-BO55)</f>
        <v>0.17457329437901178</v>
      </c>
      <c r="BP73" s="368">
        <f t="shared" si="119"/>
        <v>0.24552920165047071</v>
      </c>
      <c r="BQ73" s="360" t="s">
        <v>580</v>
      </c>
      <c r="BR73" s="369">
        <f t="shared" si="119"/>
        <v>0.374406251531752</v>
      </c>
      <c r="BS73" s="367">
        <f t="shared" si="119"/>
        <v>0.41762263821615409</v>
      </c>
      <c r="BT73" s="367">
        <f t="shared" si="119"/>
        <v>0.42977071060533406</v>
      </c>
      <c r="BU73" s="367">
        <f t="shared" si="119"/>
        <v>0.40815694914365147</v>
      </c>
      <c r="BV73" s="367">
        <f t="shared" si="119"/>
        <v>0.66021064639754101</v>
      </c>
      <c r="BW73" s="367">
        <f t="shared" si="119"/>
        <v>0.61642415662976802</v>
      </c>
      <c r="BX73" s="367">
        <f t="shared" si="119"/>
        <v>1.0398683953919121</v>
      </c>
      <c r="BY73" s="367">
        <f t="shared" si="119"/>
        <v>0.9858041619616067</v>
      </c>
      <c r="BZ73" s="367">
        <f t="shared" si="119"/>
        <v>0.90740576288415375</v>
      </c>
      <c r="CA73" s="367">
        <f t="shared" si="119"/>
        <v>0.87873021576858368</v>
      </c>
      <c r="CB73" s="367">
        <f t="shared" si="119"/>
        <v>0.80816600166520691</v>
      </c>
      <c r="CC73" s="367">
        <f t="shared" si="119"/>
        <v>0.78390696622567824</v>
      </c>
      <c r="CD73" s="367">
        <f t="shared" si="119"/>
        <v>0.65097332990309575</v>
      </c>
      <c r="CE73" s="367">
        <f t="shared" si="119"/>
        <v>0.63087459588225281</v>
      </c>
      <c r="CF73" s="367">
        <f t="shared" si="119"/>
        <v>0.58450375572247659</v>
      </c>
      <c r="CG73" s="367">
        <f t="shared" si="119"/>
        <v>0.50671035542388565</v>
      </c>
      <c r="CH73" s="367">
        <f t="shared" si="119"/>
        <v>0.66621385406782196</v>
      </c>
      <c r="CI73" s="367">
        <f t="shared" si="119"/>
        <v>0.57858125115602055</v>
      </c>
      <c r="CJ73" s="367">
        <f t="shared" si="119"/>
        <v>0.44624099387246652</v>
      </c>
      <c r="CK73" s="367">
        <f t="shared" si="119"/>
        <v>0.35102393434254187</v>
      </c>
      <c r="CL73" s="367">
        <f t="shared" si="119"/>
        <v>0.52033026205576161</v>
      </c>
      <c r="CM73" s="367">
        <f t="shared" si="119"/>
        <v>0.51315554989816703</v>
      </c>
      <c r="CN73" s="367">
        <f t="shared" ref="CN73:CO73" si="120">CN72/(CN56-CN55)</f>
        <v>5.0655806591108181E-2</v>
      </c>
      <c r="CO73" s="367">
        <f t="shared" si="120"/>
        <v>0.13664788090276977</v>
      </c>
      <c r="CP73" s="367">
        <f>CP72/(CP56-CP55)</f>
        <v>-8.2266626072618698E-2</v>
      </c>
      <c r="CQ73" s="370">
        <f t="shared" si="119"/>
        <v>-4.9869635182246415E-2</v>
      </c>
      <c r="CR73" s="367">
        <f>CR72/(CR56-CR55)</f>
        <v>0.17679057538964654</v>
      </c>
      <c r="CS73" s="370">
        <f t="shared" ref="CS73:CU73" si="121">CS72/(CS56-CS55)</f>
        <v>0.17331360155178757</v>
      </c>
      <c r="CT73" s="367">
        <f>CT72/(CT56-CT55)</f>
        <v>0.65967205988107758</v>
      </c>
      <c r="CU73" s="370">
        <f t="shared" si="121"/>
        <v>0.25840871476483618</v>
      </c>
      <c r="CV73" s="367">
        <f>CV72/(CV56-CV55)</f>
        <v>0.39715127690583091</v>
      </c>
      <c r="CW73" s="370">
        <f t="shared" ref="CW73:CY73" si="122">CW72/(CW56-CW55)</f>
        <v>0.18169192994670824</v>
      </c>
      <c r="CX73" s="367">
        <f>CX72/(CX56-CX55)</f>
        <v>0.18764826632196049</v>
      </c>
      <c r="CY73" s="368">
        <f t="shared" si="122"/>
        <v>0.33279333087353563</v>
      </c>
      <c r="CZ73" s="351"/>
      <c r="DA73" s="351"/>
      <c r="DB73" s="351"/>
      <c r="DC73" s="351"/>
      <c r="DD73" s="263"/>
      <c r="DE73" s="351"/>
      <c r="DF73" s="351"/>
    </row>
    <row r="74" spans="1:121" ht="23.1" customHeight="1" thickBot="1">
      <c r="A74" s="383" t="s">
        <v>581</v>
      </c>
      <c r="B74" s="384"/>
      <c r="C74" s="385"/>
      <c r="D74" s="385"/>
      <c r="E74" s="385"/>
      <c r="F74" s="385"/>
      <c r="G74" s="385"/>
      <c r="H74" s="385"/>
      <c r="I74" s="385"/>
      <c r="J74" s="385"/>
      <c r="K74" s="385"/>
      <c r="L74" s="385"/>
      <c r="M74" s="385"/>
      <c r="N74" s="385"/>
      <c r="O74" s="385"/>
      <c r="P74" s="385"/>
      <c r="Q74" s="385"/>
      <c r="R74" s="385"/>
      <c r="S74" s="385"/>
      <c r="T74" s="385"/>
      <c r="U74" s="385"/>
      <c r="V74" s="385"/>
      <c r="W74" s="385"/>
      <c r="X74" s="385"/>
      <c r="Y74" s="385"/>
      <c r="Z74" s="385"/>
      <c r="AA74" s="385"/>
      <c r="AB74" s="385"/>
      <c r="AC74" s="385"/>
      <c r="AD74" s="385"/>
      <c r="AE74" s="385"/>
      <c r="AF74" s="385"/>
      <c r="AG74" s="385"/>
      <c r="AH74" s="386"/>
      <c r="AI74" s="383" t="s">
        <v>581</v>
      </c>
      <c r="AJ74" s="387"/>
      <c r="AK74" s="385"/>
      <c r="AL74" s="385"/>
      <c r="AM74" s="385"/>
      <c r="AN74" s="385"/>
      <c r="AO74" s="385"/>
      <c r="AP74" s="385"/>
      <c r="AQ74" s="385"/>
      <c r="AR74" s="385"/>
      <c r="AS74" s="385"/>
      <c r="AT74" s="385"/>
      <c r="AU74" s="385"/>
      <c r="AV74" s="385"/>
      <c r="AW74" s="265"/>
      <c r="AX74" s="265"/>
      <c r="AY74" s="265"/>
      <c r="AZ74" s="265"/>
      <c r="BA74" s="265"/>
      <c r="BB74" s="265"/>
      <c r="BC74" s="265"/>
      <c r="BD74" s="265"/>
      <c r="BE74" s="265"/>
      <c r="BF74" s="265"/>
      <c r="BG74" s="265"/>
      <c r="BH74" s="265"/>
      <c r="BI74" s="265"/>
      <c r="BJ74" s="265"/>
      <c r="BK74" s="265"/>
      <c r="BL74" s="265"/>
      <c r="BM74" s="265"/>
      <c r="BN74" s="265"/>
      <c r="BO74" s="265"/>
      <c r="BP74" s="266"/>
      <c r="BQ74" s="383" t="s">
        <v>581</v>
      </c>
      <c r="BR74" s="264"/>
      <c r="BS74" s="265"/>
      <c r="BT74" s="265"/>
      <c r="BU74" s="265"/>
      <c r="BV74" s="265"/>
      <c r="BW74" s="265"/>
      <c r="BX74" s="265"/>
      <c r="BY74" s="265"/>
      <c r="BZ74" s="265"/>
      <c r="CA74" s="265"/>
      <c r="CB74" s="265"/>
      <c r="CC74" s="265"/>
      <c r="CD74" s="265"/>
      <c r="CE74" s="265"/>
      <c r="CF74" s="265"/>
      <c r="CG74" s="265"/>
      <c r="CH74" s="265"/>
      <c r="CI74" s="385"/>
      <c r="CJ74" s="385"/>
      <c r="CK74" s="385"/>
      <c r="CL74" s="385"/>
      <c r="CM74" s="385"/>
      <c r="CN74" s="385"/>
      <c r="CO74" s="385"/>
      <c r="CP74" s="388"/>
      <c r="CQ74" s="389"/>
      <c r="CR74" s="388"/>
      <c r="CS74" s="389"/>
      <c r="CT74" s="388"/>
      <c r="CU74" s="389"/>
      <c r="CV74" s="388"/>
      <c r="CW74" s="389"/>
      <c r="CX74" s="388"/>
      <c r="CY74" s="390"/>
      <c r="CZ74" s="351"/>
      <c r="DA74" s="351"/>
      <c r="DB74" s="351"/>
      <c r="DC74" s="351"/>
      <c r="DD74" s="263"/>
      <c r="DE74" s="351"/>
      <c r="DF74" s="351"/>
    </row>
    <row r="75" spans="1:121" ht="23.1" customHeight="1">
      <c r="A75" s="391"/>
      <c r="B75" s="351"/>
      <c r="C75" s="351"/>
      <c r="D75" s="351"/>
      <c r="E75" s="351"/>
      <c r="F75" s="351"/>
      <c r="G75" s="351"/>
      <c r="H75" s="351"/>
      <c r="I75" s="351"/>
      <c r="J75" s="351"/>
      <c r="K75" s="351"/>
      <c r="L75" s="351"/>
      <c r="M75" s="351"/>
      <c r="N75" s="351"/>
      <c r="O75" s="351"/>
      <c r="P75" s="351"/>
      <c r="Q75" s="351"/>
      <c r="R75" s="351"/>
      <c r="S75" s="351"/>
      <c r="T75" s="351"/>
      <c r="U75" s="351"/>
      <c r="V75" s="351"/>
      <c r="W75" s="351"/>
      <c r="X75" s="351"/>
      <c r="Y75" s="351"/>
      <c r="Z75" s="351"/>
      <c r="AA75" s="351"/>
      <c r="AB75" s="351"/>
      <c r="AC75" s="351"/>
      <c r="AD75" s="351"/>
      <c r="AE75" s="351"/>
      <c r="AI75" s="391"/>
      <c r="AU75" s="245"/>
      <c r="AV75" s="245"/>
      <c r="AW75" s="245"/>
      <c r="AX75" s="245"/>
      <c r="AY75" s="245"/>
      <c r="AZ75" s="245"/>
      <c r="BA75" s="245"/>
      <c r="BB75" s="245"/>
      <c r="BC75" s="245"/>
      <c r="BD75" s="245"/>
      <c r="BE75" s="245"/>
      <c r="BF75" s="245"/>
      <c r="BG75" s="245"/>
      <c r="BH75" s="245"/>
      <c r="BI75" s="245"/>
      <c r="BJ75" s="351"/>
      <c r="BK75" s="245"/>
      <c r="BL75" s="245"/>
      <c r="BM75" s="245"/>
      <c r="BN75" s="245"/>
      <c r="BO75" s="245"/>
      <c r="BP75" s="245"/>
      <c r="BQ75" s="391"/>
      <c r="BR75" s="245"/>
      <c r="BS75" s="245"/>
      <c r="BT75" s="245"/>
      <c r="BU75" s="245"/>
      <c r="BV75" s="245"/>
      <c r="BW75" s="245"/>
      <c r="BX75" s="245"/>
      <c r="BY75" s="245"/>
      <c r="BZ75" s="245"/>
      <c r="CA75" s="245"/>
      <c r="CB75" s="245"/>
      <c r="CC75" s="245"/>
      <c r="CD75" s="245"/>
      <c r="CE75" s="245"/>
      <c r="CF75" s="245"/>
      <c r="CG75" s="245"/>
      <c r="CH75" s="245"/>
      <c r="CI75" s="351"/>
      <c r="CJ75" s="351"/>
      <c r="CK75" s="351"/>
      <c r="CL75" s="351"/>
      <c r="CM75" s="351"/>
      <c r="CN75" s="351"/>
      <c r="CO75" s="351"/>
      <c r="CP75" s="351"/>
      <c r="CQ75" s="351"/>
      <c r="CR75" s="351"/>
      <c r="CS75" s="351"/>
      <c r="CT75" s="351"/>
      <c r="CU75" s="351"/>
      <c r="CV75" s="351"/>
      <c r="CW75" s="351"/>
      <c r="CX75" s="351"/>
      <c r="CY75" s="351"/>
      <c r="CZ75" s="351"/>
      <c r="DA75" s="351"/>
      <c r="DB75" s="351"/>
      <c r="DC75" s="351"/>
      <c r="DD75" s="351"/>
      <c r="DE75" s="351"/>
      <c r="DF75" s="351"/>
    </row>
    <row r="76" spans="1:121" ht="23.1" customHeight="1">
      <c r="A76" s="391"/>
      <c r="B76" s="351"/>
      <c r="C76" s="351"/>
      <c r="D76" s="351"/>
      <c r="E76" s="351"/>
      <c r="F76" s="351"/>
      <c r="G76" s="351"/>
      <c r="H76" s="351"/>
      <c r="I76" s="351"/>
      <c r="J76" s="351"/>
      <c r="K76" s="351"/>
      <c r="L76" s="351"/>
      <c r="M76" s="351"/>
      <c r="N76" s="351"/>
      <c r="O76" s="351"/>
      <c r="P76" s="351"/>
      <c r="Q76" s="351"/>
      <c r="R76" s="351"/>
      <c r="S76" s="351"/>
      <c r="T76" s="351"/>
      <c r="U76" s="351"/>
      <c r="V76" s="351"/>
      <c r="W76" s="351"/>
      <c r="X76" s="351"/>
      <c r="Y76" s="351"/>
      <c r="Z76" s="351"/>
      <c r="AA76" s="351"/>
      <c r="AB76" s="351"/>
      <c r="AC76" s="351"/>
      <c r="AD76" s="351"/>
      <c r="AE76" s="351"/>
      <c r="AI76" s="391"/>
      <c r="CT76" s="351"/>
      <c r="CU76" s="351"/>
      <c r="CV76" s="351"/>
      <c r="CW76" s="351"/>
      <c r="CX76" s="351"/>
      <c r="CY76" s="351"/>
      <c r="CZ76" s="351"/>
      <c r="DA76" s="351"/>
      <c r="DB76" s="351"/>
      <c r="DC76" s="351"/>
      <c r="DD76" s="351"/>
      <c r="DE76" s="351"/>
      <c r="DF76" s="351"/>
    </row>
    <row r="77" spans="1:121" ht="23.1" customHeight="1">
      <c r="A77" s="391"/>
      <c r="B77" s="351"/>
      <c r="C77" s="351"/>
      <c r="D77" s="351"/>
      <c r="E77" s="351"/>
      <c r="F77" s="351"/>
      <c r="G77" s="351"/>
      <c r="H77" s="351"/>
      <c r="I77" s="351"/>
      <c r="J77" s="351"/>
      <c r="K77" s="351"/>
      <c r="L77" s="351"/>
      <c r="M77" s="351"/>
      <c r="N77" s="351"/>
      <c r="O77" s="351"/>
      <c r="P77" s="351"/>
      <c r="Q77" s="351"/>
      <c r="R77" s="351"/>
      <c r="S77" s="351"/>
      <c r="T77" s="351"/>
      <c r="U77" s="351"/>
      <c r="V77" s="351"/>
      <c r="W77" s="351"/>
      <c r="X77" s="351"/>
      <c r="Y77" s="351"/>
      <c r="Z77" s="351"/>
      <c r="AA77" s="351"/>
      <c r="AB77" s="351"/>
      <c r="AC77" s="351"/>
      <c r="AD77" s="351"/>
      <c r="AE77" s="351"/>
      <c r="AI77" s="391"/>
      <c r="CT77" s="351"/>
      <c r="CU77" s="351"/>
      <c r="CV77" s="351"/>
      <c r="CW77" s="351"/>
      <c r="CX77" s="351"/>
      <c r="CY77" s="351"/>
      <c r="CZ77" s="351"/>
      <c r="DA77" s="351"/>
      <c r="DB77" s="351"/>
      <c r="DC77" s="351"/>
      <c r="DD77" s="351"/>
      <c r="DE77" s="351"/>
      <c r="DF77" s="351"/>
    </row>
    <row r="78" spans="1:121" ht="23.1" customHeight="1">
      <c r="A78" s="391"/>
      <c r="B78" s="351"/>
      <c r="C78" s="351"/>
      <c r="D78" s="351"/>
      <c r="E78" s="351"/>
      <c r="F78" s="351"/>
      <c r="G78" s="351"/>
      <c r="H78" s="351"/>
      <c r="I78" s="351"/>
      <c r="J78" s="351"/>
      <c r="K78" s="351"/>
      <c r="L78" s="351"/>
      <c r="M78" s="351"/>
      <c r="N78" s="351"/>
      <c r="O78" s="351"/>
      <c r="P78" s="351"/>
      <c r="Q78" s="351"/>
      <c r="R78" s="351"/>
      <c r="S78" s="351"/>
      <c r="T78" s="351"/>
      <c r="U78" s="351"/>
      <c r="V78" s="351"/>
      <c r="W78" s="351"/>
      <c r="X78" s="351"/>
      <c r="Y78" s="351"/>
      <c r="Z78" s="351"/>
      <c r="AA78" s="351"/>
      <c r="AB78" s="351"/>
      <c r="AC78" s="351"/>
      <c r="AD78" s="351"/>
      <c r="AE78" s="351"/>
      <c r="AI78" s="391"/>
      <c r="BQ78" s="391" t="s">
        <v>582</v>
      </c>
      <c r="BZ78" s="351"/>
      <c r="CA78" s="351"/>
      <c r="CB78" s="351"/>
      <c r="CC78" s="351"/>
      <c r="CD78" s="351"/>
      <c r="CE78" s="351"/>
      <c r="CF78" s="351"/>
      <c r="CG78" s="351"/>
      <c r="CH78" s="351"/>
      <c r="CI78" s="351"/>
      <c r="CJ78" s="351"/>
      <c r="CK78" s="351"/>
      <c r="CL78" s="351"/>
      <c r="CM78" s="351"/>
      <c r="CN78" s="351"/>
      <c r="CO78" s="351"/>
      <c r="CP78" s="351"/>
      <c r="CQ78" s="351"/>
      <c r="CR78" s="351"/>
      <c r="CS78" s="351"/>
      <c r="CT78" s="351"/>
      <c r="CU78" s="351"/>
      <c r="CV78" s="351"/>
      <c r="CW78" s="351"/>
      <c r="CX78" s="351"/>
      <c r="CY78" s="351"/>
      <c r="CZ78" s="351"/>
      <c r="DA78" s="351"/>
      <c r="DB78" s="351"/>
      <c r="DC78" s="351"/>
      <c r="DD78" s="351"/>
      <c r="DE78" s="351"/>
      <c r="DF78" s="351"/>
    </row>
    <row r="79" spans="1:121" ht="23.1" customHeight="1">
      <c r="A79" s="391"/>
      <c r="B79" s="351"/>
      <c r="C79" s="351"/>
      <c r="D79" s="351"/>
      <c r="E79" s="351"/>
      <c r="F79" s="351"/>
      <c r="G79" s="351"/>
      <c r="H79" s="351"/>
      <c r="I79" s="351"/>
      <c r="J79" s="351"/>
      <c r="K79" s="351"/>
      <c r="L79" s="351"/>
      <c r="M79" s="351"/>
      <c r="N79" s="351"/>
      <c r="O79" s="351"/>
      <c r="P79" s="351"/>
      <c r="Q79" s="351"/>
      <c r="R79" s="351"/>
      <c r="S79" s="351"/>
      <c r="T79" s="351"/>
      <c r="U79" s="351"/>
      <c r="V79" s="351"/>
      <c r="W79" s="351"/>
      <c r="X79" s="351"/>
      <c r="Y79" s="351"/>
      <c r="Z79" s="351"/>
      <c r="AA79" s="351"/>
      <c r="AB79" s="351"/>
      <c r="AC79" s="351"/>
      <c r="AD79" s="351"/>
      <c r="AE79" s="351"/>
      <c r="AI79" s="391"/>
      <c r="BQ79" s="391"/>
      <c r="BZ79" s="351"/>
      <c r="CA79" s="351"/>
      <c r="CB79" s="351"/>
      <c r="CC79" s="351"/>
      <c r="CD79" s="351"/>
      <c r="CE79" s="351"/>
      <c r="CF79" s="351"/>
      <c r="CG79" s="351"/>
      <c r="CH79" s="351"/>
      <c r="CI79" s="351"/>
      <c r="CJ79" s="351"/>
      <c r="CK79" s="351"/>
      <c r="CL79" s="351"/>
      <c r="CM79" s="351"/>
      <c r="CN79" s="351"/>
      <c r="CO79" s="351"/>
      <c r="CP79" s="351"/>
      <c r="CQ79" s="351"/>
      <c r="CR79" s="351"/>
      <c r="CS79" s="351"/>
      <c r="CT79" s="351"/>
      <c r="CU79" s="351"/>
      <c r="CV79" s="351"/>
      <c r="CW79" s="351"/>
      <c r="CX79" s="351"/>
      <c r="CY79" s="351"/>
      <c r="CZ79" s="351"/>
      <c r="DA79" s="351"/>
      <c r="DB79" s="351"/>
      <c r="DC79" s="351"/>
      <c r="DD79" s="351"/>
      <c r="DE79" s="351"/>
      <c r="DF79" s="351"/>
    </row>
    <row r="80" spans="1:121" ht="23.1" customHeight="1">
      <c r="A80" s="391"/>
      <c r="B80" s="351"/>
      <c r="C80" s="351"/>
      <c r="D80" s="351"/>
      <c r="E80" s="351"/>
      <c r="F80" s="351"/>
      <c r="G80" s="351"/>
      <c r="H80" s="351"/>
      <c r="I80" s="351"/>
      <c r="J80" s="351"/>
      <c r="K80" s="351"/>
      <c r="L80" s="351"/>
      <c r="M80" s="351"/>
      <c r="N80" s="351"/>
      <c r="O80" s="351"/>
      <c r="P80" s="351"/>
      <c r="Q80" s="351"/>
      <c r="R80" s="351"/>
      <c r="S80" s="351"/>
      <c r="T80" s="351"/>
      <c r="U80" s="351"/>
      <c r="V80" s="351"/>
      <c r="W80" s="351"/>
      <c r="X80" s="351"/>
      <c r="Y80" s="351"/>
      <c r="Z80" s="351"/>
      <c r="AA80" s="351"/>
      <c r="AB80" s="351"/>
      <c r="AC80" s="351"/>
      <c r="AD80" s="351"/>
      <c r="AE80" s="351"/>
      <c r="AI80" s="391"/>
      <c r="BQ80" s="391"/>
      <c r="BZ80" s="351"/>
      <c r="CA80" s="351"/>
      <c r="CB80" s="351"/>
      <c r="CC80" s="351"/>
      <c r="CD80" s="351"/>
      <c r="CE80" s="351"/>
      <c r="CF80" s="351"/>
      <c r="CG80" s="351"/>
      <c r="CH80" s="351"/>
      <c r="CI80" s="351"/>
      <c r="CJ80" s="351"/>
      <c r="CK80" s="351"/>
      <c r="CL80" s="351"/>
      <c r="CM80" s="351"/>
      <c r="CN80" s="351"/>
      <c r="CO80" s="351"/>
      <c r="CP80" s="351"/>
      <c r="CQ80" s="351"/>
      <c r="CR80" s="351"/>
      <c r="CS80" s="351"/>
      <c r="CT80" s="351"/>
      <c r="CU80" s="351"/>
      <c r="CV80" s="351"/>
      <c r="CW80" s="351"/>
      <c r="CX80" s="351"/>
      <c r="CY80" s="351"/>
      <c r="CZ80" s="351"/>
      <c r="DA80" s="351"/>
      <c r="DB80" s="351"/>
      <c r="DC80" s="351"/>
      <c r="DD80" s="351"/>
      <c r="DE80" s="351"/>
      <c r="DF80" s="351"/>
    </row>
    <row r="81" spans="1:110" ht="23.1" customHeight="1">
      <c r="A81" s="391"/>
      <c r="B81" s="351"/>
      <c r="C81" s="351"/>
      <c r="D81" s="351"/>
      <c r="E81" s="351"/>
      <c r="F81" s="351"/>
      <c r="G81" s="351"/>
      <c r="H81" s="351"/>
      <c r="I81" s="351"/>
      <c r="J81" s="351"/>
      <c r="K81" s="351"/>
      <c r="L81" s="351"/>
      <c r="M81" s="351"/>
      <c r="N81" s="351"/>
      <c r="O81" s="351"/>
      <c r="P81" s="351"/>
      <c r="Q81" s="351"/>
      <c r="R81" s="351"/>
      <c r="S81" s="351"/>
      <c r="T81" s="351"/>
      <c r="U81" s="351"/>
      <c r="V81" s="351"/>
      <c r="W81" s="351"/>
      <c r="X81" s="351"/>
      <c r="Y81" s="351"/>
      <c r="Z81" s="351"/>
      <c r="AA81" s="351"/>
      <c r="AB81" s="351"/>
      <c r="AC81" s="351"/>
      <c r="AD81" s="351"/>
      <c r="AE81" s="351"/>
      <c r="AI81" s="391"/>
      <c r="BQ81" s="391"/>
      <c r="BZ81" s="351"/>
      <c r="CA81" s="351"/>
      <c r="CB81" s="351"/>
      <c r="CC81" s="351"/>
      <c r="CD81" s="351"/>
      <c r="CE81" s="351"/>
      <c r="CF81" s="351"/>
      <c r="CG81" s="351"/>
      <c r="CH81" s="351"/>
      <c r="CI81" s="351"/>
      <c r="CJ81" s="351"/>
      <c r="CK81" s="351"/>
      <c r="CL81" s="351"/>
      <c r="CM81" s="351"/>
      <c r="CN81" s="351"/>
      <c r="CO81" s="351"/>
      <c r="CP81" s="351"/>
      <c r="CQ81" s="351"/>
      <c r="CR81" s="351"/>
      <c r="CS81" s="351"/>
      <c r="CT81" s="351"/>
      <c r="CU81" s="351"/>
      <c r="CV81" s="351"/>
      <c r="CW81" s="351"/>
      <c r="CX81" s="351"/>
      <c r="CY81" s="351"/>
      <c r="CZ81" s="351"/>
      <c r="DA81" s="351"/>
      <c r="DB81" s="351"/>
      <c r="DC81" s="351"/>
      <c r="DD81" s="351"/>
      <c r="DE81" s="351"/>
      <c r="DF81" s="351"/>
    </row>
    <row r="82" spans="1:110" ht="23.1" customHeight="1">
      <c r="A82" s="391"/>
      <c r="B82" s="351"/>
      <c r="C82" s="351"/>
      <c r="D82" s="351"/>
      <c r="E82" s="351"/>
      <c r="F82" s="351"/>
      <c r="G82" s="351"/>
      <c r="H82" s="351"/>
      <c r="I82" s="351"/>
      <c r="J82" s="351"/>
      <c r="K82" s="351"/>
      <c r="L82" s="351"/>
      <c r="M82" s="351"/>
      <c r="N82" s="351"/>
      <c r="O82" s="351"/>
      <c r="P82" s="351"/>
      <c r="Q82" s="351"/>
      <c r="R82" s="351"/>
      <c r="S82" s="351"/>
      <c r="T82" s="351"/>
      <c r="U82" s="351"/>
      <c r="V82" s="351"/>
      <c r="W82" s="351"/>
      <c r="X82" s="351"/>
      <c r="Y82" s="351"/>
      <c r="Z82" s="351"/>
      <c r="AA82" s="351"/>
      <c r="AB82" s="351"/>
      <c r="AC82" s="351"/>
      <c r="AD82" s="351"/>
      <c r="AE82" s="351"/>
      <c r="AI82" s="391"/>
      <c r="BQ82" s="391"/>
      <c r="BZ82" s="351"/>
      <c r="CA82" s="351"/>
      <c r="CB82" s="351"/>
      <c r="CC82" s="351"/>
      <c r="CD82" s="351"/>
      <c r="CE82" s="351"/>
      <c r="CF82" s="351"/>
      <c r="CG82" s="351"/>
      <c r="CH82" s="351"/>
      <c r="CI82" s="351"/>
      <c r="CJ82" s="351"/>
      <c r="CK82" s="351"/>
      <c r="CL82" s="351"/>
      <c r="CM82" s="351"/>
      <c r="CN82" s="351"/>
      <c r="CO82" s="351"/>
      <c r="CP82" s="351"/>
      <c r="CQ82" s="351"/>
      <c r="CR82" s="351"/>
      <c r="CS82" s="351"/>
      <c r="CT82" s="351"/>
      <c r="CU82" s="351"/>
      <c r="CV82" s="351"/>
      <c r="CW82" s="351"/>
      <c r="CX82" s="351"/>
      <c r="CY82" s="351"/>
      <c r="CZ82" s="351"/>
      <c r="DA82" s="351"/>
      <c r="DB82" s="351"/>
      <c r="DC82" s="351"/>
      <c r="DD82" s="351"/>
      <c r="DE82" s="351"/>
      <c r="DF82" s="351"/>
    </row>
    <row r="83" spans="1:110" ht="23.1" customHeight="1">
      <c r="A83" s="391"/>
      <c r="B83" s="351"/>
      <c r="C83" s="351"/>
      <c r="D83" s="351"/>
      <c r="E83" s="351"/>
      <c r="F83" s="351"/>
      <c r="G83" s="351"/>
      <c r="H83" s="351"/>
      <c r="I83" s="351"/>
      <c r="J83" s="351"/>
      <c r="K83" s="351"/>
      <c r="L83" s="351"/>
      <c r="M83" s="351"/>
      <c r="N83" s="351"/>
      <c r="O83" s="351"/>
      <c r="P83" s="351"/>
      <c r="Q83" s="351"/>
      <c r="R83" s="351"/>
      <c r="S83" s="351"/>
      <c r="T83" s="351"/>
      <c r="U83" s="351"/>
      <c r="V83" s="351"/>
      <c r="W83" s="351"/>
      <c r="X83" s="351"/>
      <c r="Y83" s="351"/>
      <c r="Z83" s="351"/>
      <c r="AA83" s="351"/>
      <c r="AB83" s="351"/>
      <c r="AC83" s="351"/>
      <c r="AD83" s="351"/>
      <c r="AE83" s="351"/>
      <c r="AI83" s="391"/>
      <c r="BQ83" s="391"/>
      <c r="BZ83" s="351"/>
      <c r="CA83" s="351"/>
      <c r="CB83" s="351"/>
      <c r="CC83" s="351"/>
      <c r="CD83" s="351"/>
      <c r="CE83" s="351"/>
      <c r="CF83" s="351"/>
      <c r="CG83" s="351"/>
      <c r="CH83" s="351"/>
      <c r="CI83" s="351"/>
      <c r="CJ83" s="351"/>
      <c r="CK83" s="351"/>
      <c r="CL83" s="351"/>
      <c r="CM83" s="351"/>
      <c r="CN83" s="351"/>
      <c r="CO83" s="351"/>
      <c r="CP83" s="351"/>
      <c r="CQ83" s="351"/>
      <c r="CR83" s="351"/>
      <c r="CS83" s="351"/>
      <c r="CT83" s="351"/>
      <c r="CU83" s="351"/>
      <c r="CV83" s="351"/>
      <c r="CW83" s="351"/>
      <c r="CX83" s="351"/>
      <c r="CY83" s="351"/>
      <c r="CZ83" s="351"/>
      <c r="DA83" s="351"/>
      <c r="DB83" s="351"/>
      <c r="DC83" s="351"/>
      <c r="DD83" s="351"/>
      <c r="DE83" s="351"/>
      <c r="DF83" s="351"/>
    </row>
    <row r="84" spans="1:110" ht="23.1" customHeight="1">
      <c r="A84" s="391"/>
      <c r="B84" s="351"/>
      <c r="C84" s="351"/>
      <c r="D84" s="351"/>
      <c r="E84" s="351"/>
      <c r="F84" s="351"/>
      <c r="G84" s="351"/>
      <c r="H84" s="351"/>
      <c r="I84" s="351"/>
      <c r="J84" s="351"/>
      <c r="K84" s="351"/>
      <c r="L84" s="351"/>
      <c r="M84" s="351"/>
      <c r="N84" s="351"/>
      <c r="O84" s="351"/>
      <c r="P84" s="351"/>
      <c r="Q84" s="351"/>
      <c r="R84" s="351"/>
      <c r="S84" s="351"/>
      <c r="T84" s="351"/>
      <c r="U84" s="351"/>
      <c r="V84" s="351"/>
      <c r="W84" s="351"/>
      <c r="X84" s="351"/>
      <c r="Y84" s="351"/>
      <c r="Z84" s="351"/>
      <c r="AA84" s="351"/>
      <c r="AB84" s="351"/>
      <c r="AC84" s="351"/>
      <c r="AD84" s="351"/>
      <c r="AE84" s="351"/>
      <c r="AI84" s="391"/>
      <c r="BQ84" s="391"/>
      <c r="BZ84" s="351"/>
      <c r="CA84" s="351"/>
      <c r="CB84" s="351"/>
      <c r="CC84" s="351"/>
      <c r="CD84" s="351"/>
      <c r="CE84" s="351"/>
      <c r="CF84" s="351"/>
      <c r="CG84" s="351"/>
      <c r="CH84" s="351"/>
      <c r="CI84" s="351"/>
      <c r="CJ84" s="351"/>
      <c r="CK84" s="351"/>
      <c r="CL84" s="351"/>
      <c r="CM84" s="351"/>
      <c r="CN84" s="351"/>
      <c r="CO84" s="351"/>
      <c r="CP84" s="351"/>
      <c r="CQ84" s="351"/>
      <c r="CR84" s="351"/>
      <c r="CS84" s="351"/>
      <c r="CT84" s="351"/>
      <c r="CU84" s="351"/>
      <c r="CV84" s="351"/>
      <c r="CW84" s="351"/>
      <c r="CX84" s="351"/>
      <c r="CY84" s="351"/>
      <c r="CZ84" s="351"/>
      <c r="DA84" s="351"/>
      <c r="DB84" s="351"/>
      <c r="DC84" s="351"/>
      <c r="DD84" s="351"/>
      <c r="DE84" s="351"/>
      <c r="DF84" s="351"/>
    </row>
    <row r="85" spans="1:110" ht="23.1" customHeight="1">
      <c r="A85" s="391"/>
      <c r="B85" s="351"/>
      <c r="C85" s="351"/>
      <c r="D85" s="351"/>
      <c r="E85" s="351"/>
      <c r="F85" s="351"/>
      <c r="G85" s="351"/>
      <c r="H85" s="351"/>
      <c r="I85" s="351"/>
      <c r="J85" s="351"/>
      <c r="K85" s="351"/>
      <c r="L85" s="351"/>
      <c r="M85" s="351"/>
      <c r="N85" s="351"/>
      <c r="O85" s="351"/>
      <c r="P85" s="351"/>
      <c r="Q85" s="351"/>
      <c r="R85" s="351"/>
      <c r="S85" s="351"/>
      <c r="T85" s="351"/>
      <c r="U85" s="351"/>
      <c r="V85" s="351"/>
      <c r="W85" s="351"/>
      <c r="X85" s="351"/>
      <c r="Y85" s="351"/>
      <c r="Z85" s="351"/>
      <c r="AA85" s="351"/>
      <c r="AB85" s="351"/>
      <c r="AC85" s="351"/>
      <c r="AD85" s="351"/>
      <c r="AE85" s="351"/>
      <c r="AI85" s="391"/>
      <c r="BQ85" s="391"/>
      <c r="BZ85" s="351"/>
      <c r="CA85" s="351"/>
      <c r="CB85" s="351"/>
      <c r="CC85" s="351"/>
      <c r="CD85" s="351"/>
      <c r="CE85" s="351"/>
      <c r="CF85" s="351"/>
      <c r="CG85" s="351"/>
      <c r="CH85" s="351"/>
      <c r="CI85" s="351"/>
      <c r="CJ85" s="351"/>
      <c r="CK85" s="351"/>
      <c r="CL85" s="351"/>
      <c r="CM85" s="351"/>
      <c r="CN85" s="351"/>
      <c r="CO85" s="351"/>
      <c r="CP85" s="351"/>
      <c r="CQ85" s="351"/>
      <c r="CR85" s="351"/>
      <c r="CS85" s="351"/>
      <c r="CT85" s="351"/>
      <c r="CU85" s="351"/>
      <c r="CV85" s="351"/>
      <c r="CW85" s="351"/>
      <c r="CX85" s="351"/>
      <c r="CY85" s="351"/>
      <c r="CZ85" s="351"/>
      <c r="DA85" s="351"/>
      <c r="DB85" s="351"/>
      <c r="DC85" s="351"/>
      <c r="DD85" s="351"/>
      <c r="DE85" s="351"/>
      <c r="DF85" s="351"/>
    </row>
    <row r="86" spans="1:110" ht="23.1" customHeight="1">
      <c r="A86" s="391"/>
      <c r="B86" s="351"/>
      <c r="C86" s="351"/>
      <c r="D86" s="351"/>
      <c r="E86" s="351"/>
      <c r="F86" s="351"/>
      <c r="G86" s="351"/>
      <c r="H86" s="351"/>
      <c r="I86" s="351"/>
      <c r="J86" s="351"/>
      <c r="K86" s="351"/>
      <c r="L86" s="351"/>
      <c r="M86" s="351"/>
      <c r="N86" s="351"/>
      <c r="O86" s="351"/>
      <c r="P86" s="351"/>
      <c r="Q86" s="351"/>
      <c r="R86" s="351"/>
      <c r="S86" s="351"/>
      <c r="T86" s="351"/>
      <c r="U86" s="351"/>
      <c r="V86" s="351"/>
      <c r="W86" s="351"/>
      <c r="X86" s="351"/>
      <c r="Y86" s="351"/>
      <c r="Z86" s="351"/>
      <c r="AA86" s="351"/>
      <c r="AB86" s="351"/>
      <c r="AC86" s="351"/>
      <c r="AD86" s="351"/>
      <c r="AE86" s="351"/>
      <c r="AI86" s="391"/>
      <c r="BQ86" s="391"/>
      <c r="BZ86" s="351"/>
      <c r="CA86" s="351"/>
      <c r="CB86" s="351"/>
      <c r="CC86" s="351"/>
      <c r="CD86" s="351"/>
      <c r="CE86" s="351"/>
      <c r="CF86" s="351"/>
      <c r="CG86" s="351"/>
      <c r="CH86" s="351"/>
      <c r="CI86" s="351"/>
      <c r="CJ86" s="351"/>
      <c r="CK86" s="351"/>
      <c r="CL86" s="351"/>
      <c r="CM86" s="351"/>
      <c r="CN86" s="351"/>
      <c r="CO86" s="351"/>
      <c r="CP86" s="351"/>
      <c r="CQ86" s="351"/>
      <c r="CR86" s="351"/>
      <c r="CS86" s="351"/>
      <c r="CT86" s="351"/>
      <c r="CU86" s="351"/>
      <c r="CV86" s="351"/>
      <c r="CW86" s="351"/>
      <c r="CX86" s="351"/>
      <c r="CY86" s="351"/>
      <c r="CZ86" s="351"/>
      <c r="DA86" s="351"/>
      <c r="DB86" s="351"/>
      <c r="DC86" s="351"/>
      <c r="DD86" s="351"/>
      <c r="DE86" s="351"/>
      <c r="DF86" s="351"/>
    </row>
    <row r="87" spans="1:110" ht="23.1" customHeight="1">
      <c r="A87" s="391"/>
      <c r="B87" s="351"/>
      <c r="C87" s="351"/>
      <c r="D87" s="351"/>
      <c r="E87" s="351"/>
      <c r="F87" s="351"/>
      <c r="G87" s="351"/>
      <c r="H87" s="351"/>
      <c r="I87" s="351"/>
      <c r="J87" s="351"/>
      <c r="K87" s="351"/>
      <c r="L87" s="351"/>
      <c r="M87" s="351"/>
      <c r="N87" s="351"/>
      <c r="O87" s="351"/>
      <c r="P87" s="351"/>
      <c r="Q87" s="351"/>
      <c r="R87" s="351"/>
      <c r="S87" s="351"/>
      <c r="T87" s="351"/>
      <c r="U87" s="351"/>
      <c r="V87" s="351"/>
      <c r="W87" s="351"/>
      <c r="X87" s="351"/>
      <c r="Y87" s="351"/>
      <c r="Z87" s="351"/>
      <c r="AA87" s="351"/>
      <c r="AB87" s="351"/>
      <c r="AC87" s="351"/>
      <c r="AD87" s="351"/>
      <c r="AE87" s="351"/>
      <c r="AI87" s="391"/>
      <c r="BQ87" s="391"/>
      <c r="BZ87" s="351"/>
      <c r="CA87" s="351"/>
      <c r="CB87" s="351"/>
      <c r="CC87" s="351"/>
      <c r="CD87" s="351"/>
      <c r="CE87" s="351"/>
      <c r="CF87" s="351"/>
      <c r="CG87" s="351"/>
      <c r="CH87" s="351"/>
      <c r="CI87" s="351"/>
      <c r="CJ87" s="351"/>
      <c r="CK87" s="351"/>
      <c r="CL87" s="351"/>
      <c r="CM87" s="351"/>
      <c r="CN87" s="351"/>
      <c r="CO87" s="351"/>
      <c r="CP87" s="351"/>
      <c r="CQ87" s="351"/>
      <c r="CR87" s="351"/>
      <c r="CS87" s="351"/>
      <c r="CT87" s="351"/>
      <c r="CU87" s="351"/>
      <c r="CV87" s="351"/>
      <c r="CW87" s="351"/>
      <c r="CX87" s="351"/>
      <c r="CY87" s="351"/>
      <c r="CZ87" s="351"/>
      <c r="DA87" s="351"/>
      <c r="DB87" s="351"/>
      <c r="DC87" s="351"/>
      <c r="DD87" s="351"/>
      <c r="DE87" s="351"/>
      <c r="DF87" s="351"/>
    </row>
    <row r="88" spans="1:110" ht="23.1" customHeight="1">
      <c r="A88" s="391"/>
      <c r="B88" s="351"/>
      <c r="C88" s="351"/>
      <c r="D88" s="351"/>
      <c r="E88" s="351"/>
      <c r="F88" s="351"/>
      <c r="G88" s="351"/>
      <c r="H88" s="351"/>
      <c r="I88" s="351"/>
      <c r="J88" s="351"/>
      <c r="K88" s="351"/>
      <c r="L88" s="351"/>
      <c r="M88" s="351"/>
      <c r="N88" s="351"/>
      <c r="O88" s="351"/>
      <c r="P88" s="351"/>
      <c r="Q88" s="351"/>
      <c r="R88" s="351"/>
      <c r="S88" s="351"/>
      <c r="T88" s="351"/>
      <c r="U88" s="351"/>
      <c r="V88" s="351"/>
      <c r="W88" s="351"/>
      <c r="X88" s="351"/>
      <c r="Y88" s="351"/>
      <c r="Z88" s="351"/>
      <c r="AA88" s="351"/>
      <c r="AB88" s="351"/>
      <c r="AC88" s="351"/>
      <c r="AD88" s="351"/>
      <c r="AE88" s="351"/>
      <c r="AI88" s="391"/>
      <c r="BQ88" s="391"/>
      <c r="BZ88" s="351"/>
      <c r="CA88" s="351"/>
      <c r="CB88" s="351"/>
      <c r="CC88" s="351"/>
      <c r="CD88" s="351"/>
      <c r="CE88" s="351"/>
      <c r="CF88" s="351"/>
      <c r="CG88" s="351"/>
      <c r="CH88" s="351"/>
      <c r="CI88" s="351"/>
      <c r="CJ88" s="351"/>
      <c r="CK88" s="351"/>
      <c r="CL88" s="351"/>
      <c r="CM88" s="351"/>
      <c r="CN88" s="351"/>
      <c r="CO88" s="351"/>
      <c r="CP88" s="351"/>
      <c r="CQ88" s="351"/>
      <c r="CR88" s="351"/>
      <c r="CS88" s="351"/>
      <c r="CT88" s="351"/>
      <c r="CU88" s="351"/>
      <c r="CV88" s="351"/>
      <c r="CW88" s="351"/>
      <c r="CX88" s="351"/>
      <c r="CY88" s="351"/>
      <c r="CZ88" s="351"/>
      <c r="DA88" s="351"/>
      <c r="DB88" s="351"/>
      <c r="DC88" s="351"/>
      <c r="DD88" s="351"/>
      <c r="DE88" s="351"/>
      <c r="DF88" s="351"/>
    </row>
    <row r="89" spans="1:110" ht="23.1" customHeight="1">
      <c r="A89" s="391"/>
      <c r="B89" s="351"/>
      <c r="C89" s="351"/>
      <c r="D89" s="351"/>
      <c r="E89" s="351"/>
      <c r="F89" s="351"/>
      <c r="G89" s="351"/>
      <c r="H89" s="351"/>
      <c r="I89" s="351"/>
      <c r="J89" s="351"/>
      <c r="K89" s="351"/>
      <c r="L89" s="351"/>
      <c r="M89" s="351"/>
      <c r="N89" s="351"/>
      <c r="O89" s="351"/>
      <c r="P89" s="351"/>
      <c r="Q89" s="351"/>
      <c r="R89" s="351"/>
      <c r="S89" s="351"/>
      <c r="T89" s="351"/>
      <c r="U89" s="351"/>
      <c r="V89" s="351"/>
      <c r="W89" s="351"/>
      <c r="X89" s="351"/>
      <c r="Y89" s="351"/>
      <c r="Z89" s="351"/>
      <c r="AA89" s="351"/>
      <c r="AB89" s="351"/>
      <c r="AC89" s="351"/>
      <c r="AD89" s="351"/>
      <c r="AE89" s="351"/>
      <c r="AI89" s="391"/>
      <c r="BQ89" s="391"/>
      <c r="BZ89" s="351"/>
      <c r="CA89" s="351"/>
      <c r="CB89" s="351"/>
      <c r="CC89" s="351"/>
      <c r="CD89" s="351"/>
      <c r="CE89" s="351"/>
      <c r="CF89" s="351"/>
      <c r="CG89" s="351"/>
      <c r="CH89" s="351"/>
      <c r="CI89" s="351"/>
      <c r="CJ89" s="351"/>
      <c r="CK89" s="351"/>
      <c r="CL89" s="351"/>
      <c r="CM89" s="351"/>
      <c r="CN89" s="351"/>
      <c r="CO89" s="351"/>
      <c r="CP89" s="351"/>
      <c r="CQ89" s="351"/>
      <c r="CR89" s="351"/>
      <c r="CS89" s="351"/>
      <c r="CT89" s="351"/>
      <c r="CU89" s="351"/>
      <c r="CV89" s="351"/>
      <c r="CW89" s="351"/>
      <c r="CX89" s="351"/>
      <c r="CY89" s="351"/>
      <c r="CZ89" s="351"/>
      <c r="DA89" s="351"/>
      <c r="DB89" s="351"/>
      <c r="DC89" s="351"/>
      <c r="DD89" s="351"/>
      <c r="DE89" s="351"/>
      <c r="DF89" s="351"/>
    </row>
    <row r="90" spans="1:110" ht="23.1" customHeight="1">
      <c r="A90" s="391"/>
      <c r="B90" s="351"/>
      <c r="C90" s="351"/>
      <c r="D90" s="351"/>
      <c r="E90" s="351"/>
      <c r="F90" s="351"/>
      <c r="G90" s="351"/>
      <c r="H90" s="351"/>
      <c r="I90" s="351"/>
      <c r="J90" s="351"/>
      <c r="K90" s="351"/>
      <c r="L90" s="351"/>
      <c r="M90" s="351"/>
      <c r="N90" s="351"/>
      <c r="O90" s="351"/>
      <c r="P90" s="351"/>
      <c r="Q90" s="351"/>
      <c r="R90" s="351"/>
      <c r="S90" s="351"/>
      <c r="T90" s="351"/>
      <c r="U90" s="351"/>
      <c r="V90" s="351"/>
      <c r="W90" s="351"/>
      <c r="X90" s="351"/>
      <c r="Y90" s="351"/>
      <c r="Z90" s="351"/>
      <c r="AA90" s="351"/>
      <c r="AB90" s="351"/>
      <c r="AC90" s="351"/>
      <c r="AD90" s="351"/>
      <c r="AE90" s="351"/>
      <c r="AI90" s="391"/>
      <c r="BQ90" s="391"/>
      <c r="BZ90" s="351"/>
      <c r="CA90" s="351"/>
      <c r="CB90" s="351"/>
      <c r="CC90" s="351"/>
      <c r="CD90" s="351"/>
      <c r="CE90" s="351"/>
      <c r="CF90" s="351"/>
      <c r="CG90" s="351"/>
      <c r="CH90" s="351"/>
      <c r="CI90" s="351"/>
      <c r="CJ90" s="351"/>
      <c r="CK90" s="351"/>
      <c r="CL90" s="351"/>
      <c r="CM90" s="351"/>
      <c r="CN90" s="351"/>
      <c r="CO90" s="351"/>
      <c r="CP90" s="351"/>
      <c r="CQ90" s="351"/>
      <c r="CR90" s="351"/>
      <c r="CS90" s="351"/>
      <c r="CT90" s="351"/>
      <c r="CU90" s="351"/>
      <c r="CV90" s="351"/>
      <c r="CW90" s="351"/>
      <c r="CX90" s="351"/>
      <c r="CY90" s="351"/>
      <c r="CZ90" s="351"/>
      <c r="DA90" s="351"/>
      <c r="DB90" s="351"/>
      <c r="DC90" s="351"/>
      <c r="DD90" s="351"/>
      <c r="DE90" s="351"/>
      <c r="DF90" s="351"/>
    </row>
    <row r="91" spans="1:110" ht="23.1" customHeight="1">
      <c r="A91" s="391"/>
      <c r="B91" s="351"/>
      <c r="C91" s="351"/>
      <c r="D91" s="351"/>
      <c r="E91" s="351"/>
      <c r="F91" s="351"/>
      <c r="G91" s="351"/>
      <c r="H91" s="351"/>
      <c r="I91" s="351"/>
      <c r="J91" s="351"/>
      <c r="K91" s="351"/>
      <c r="L91" s="351"/>
      <c r="M91" s="351"/>
      <c r="N91" s="351"/>
      <c r="O91" s="351"/>
      <c r="P91" s="351"/>
      <c r="Q91" s="351"/>
      <c r="R91" s="351"/>
      <c r="S91" s="351"/>
      <c r="T91" s="351"/>
      <c r="U91" s="351"/>
      <c r="V91" s="351"/>
      <c r="W91" s="351"/>
      <c r="X91" s="351"/>
      <c r="Y91" s="351"/>
      <c r="Z91" s="351"/>
      <c r="AA91" s="351"/>
      <c r="AB91" s="351"/>
      <c r="AC91" s="351"/>
      <c r="AD91" s="351"/>
      <c r="AE91" s="351"/>
      <c r="AI91" s="391"/>
      <c r="BQ91" s="391"/>
      <c r="BZ91" s="351"/>
      <c r="CA91" s="351"/>
      <c r="CB91" s="351"/>
      <c r="CC91" s="351"/>
      <c r="CD91" s="351"/>
      <c r="CE91" s="351"/>
      <c r="CF91" s="351"/>
      <c r="CG91" s="351"/>
      <c r="CH91" s="351"/>
      <c r="CI91" s="351"/>
      <c r="CJ91" s="351"/>
      <c r="CK91" s="351"/>
      <c r="CL91" s="351"/>
      <c r="CM91" s="351"/>
      <c r="CN91" s="351"/>
      <c r="CO91" s="351"/>
      <c r="CP91" s="351"/>
      <c r="CQ91" s="351"/>
      <c r="CR91" s="351"/>
      <c r="CS91" s="351"/>
      <c r="CT91" s="351"/>
      <c r="CU91" s="351"/>
      <c r="CV91" s="351"/>
      <c r="CW91" s="351"/>
      <c r="CX91" s="351"/>
      <c r="CY91" s="351"/>
      <c r="CZ91" s="351"/>
      <c r="DA91" s="351"/>
      <c r="DB91" s="351"/>
      <c r="DC91" s="351"/>
      <c r="DD91" s="351"/>
      <c r="DE91" s="351"/>
      <c r="DF91" s="351"/>
    </row>
    <row r="92" spans="1:110" ht="23.1" customHeight="1">
      <c r="A92" s="391"/>
      <c r="B92" s="351"/>
      <c r="C92" s="351"/>
      <c r="D92" s="351"/>
      <c r="E92" s="351"/>
      <c r="F92" s="351"/>
      <c r="G92" s="351"/>
      <c r="H92" s="351"/>
      <c r="I92" s="351"/>
      <c r="J92" s="351"/>
      <c r="K92" s="351"/>
      <c r="L92" s="351"/>
      <c r="M92" s="351"/>
      <c r="N92" s="351"/>
      <c r="O92" s="351"/>
      <c r="P92" s="351"/>
      <c r="Q92" s="351"/>
      <c r="R92" s="351"/>
      <c r="S92" s="351"/>
      <c r="T92" s="351"/>
      <c r="U92" s="351"/>
      <c r="V92" s="351"/>
      <c r="W92" s="351"/>
      <c r="X92" s="351"/>
      <c r="Y92" s="351"/>
      <c r="Z92" s="351"/>
      <c r="AA92" s="351"/>
      <c r="AB92" s="351"/>
      <c r="AC92" s="351"/>
      <c r="AD92" s="351"/>
      <c r="AE92" s="351"/>
      <c r="AI92" s="391"/>
      <c r="BQ92" s="391"/>
      <c r="BZ92" s="351"/>
      <c r="CA92" s="351"/>
      <c r="CB92" s="351"/>
      <c r="CC92" s="351"/>
      <c r="CD92" s="351"/>
      <c r="CE92" s="351"/>
      <c r="CF92" s="351"/>
      <c r="CG92" s="351"/>
      <c r="CH92" s="351"/>
      <c r="CI92" s="351"/>
      <c r="CJ92" s="351"/>
      <c r="CK92" s="351"/>
      <c r="CL92" s="351"/>
      <c r="CM92" s="351"/>
      <c r="CN92" s="351"/>
      <c r="CO92" s="351"/>
      <c r="CP92" s="351"/>
      <c r="CQ92" s="351"/>
      <c r="CR92" s="351"/>
      <c r="CS92" s="351"/>
      <c r="CT92" s="351"/>
      <c r="CU92" s="351"/>
      <c r="CV92" s="351"/>
      <c r="CW92" s="351"/>
      <c r="CX92" s="351"/>
      <c r="CY92" s="351"/>
      <c r="CZ92" s="351"/>
      <c r="DA92" s="351"/>
      <c r="DB92" s="351"/>
      <c r="DC92" s="351"/>
      <c r="DD92" s="351"/>
      <c r="DE92" s="351"/>
      <c r="DF92" s="351"/>
    </row>
    <row r="93" spans="1:110" ht="23.1" customHeight="1">
      <c r="A93" s="391"/>
      <c r="B93" s="351"/>
      <c r="C93" s="351"/>
      <c r="D93" s="351"/>
      <c r="E93" s="351"/>
      <c r="F93" s="351"/>
      <c r="G93" s="351"/>
      <c r="H93" s="351"/>
      <c r="I93" s="351"/>
      <c r="J93" s="351"/>
      <c r="K93" s="351"/>
      <c r="L93" s="351"/>
      <c r="M93" s="351"/>
      <c r="N93" s="351"/>
      <c r="O93" s="351"/>
      <c r="P93" s="351"/>
      <c r="Q93" s="351"/>
      <c r="R93" s="351"/>
      <c r="S93" s="351"/>
      <c r="T93" s="351"/>
      <c r="U93" s="351"/>
      <c r="V93" s="351"/>
      <c r="W93" s="351"/>
      <c r="X93" s="351"/>
      <c r="Y93" s="351"/>
      <c r="Z93" s="351"/>
      <c r="AA93" s="351"/>
      <c r="AB93" s="351"/>
      <c r="AC93" s="351"/>
      <c r="AD93" s="351"/>
      <c r="AE93" s="351"/>
      <c r="AI93" s="391"/>
      <c r="BQ93" s="391"/>
      <c r="BZ93" s="351"/>
      <c r="CA93" s="351"/>
      <c r="CB93" s="351"/>
      <c r="CC93" s="351"/>
      <c r="CD93" s="351"/>
      <c r="CE93" s="351"/>
      <c r="CF93" s="351"/>
      <c r="CG93" s="351"/>
      <c r="CH93" s="351"/>
      <c r="CI93" s="351"/>
      <c r="CJ93" s="351"/>
      <c r="CK93" s="351"/>
      <c r="CL93" s="351"/>
      <c r="CM93" s="351"/>
      <c r="CN93" s="351"/>
      <c r="CO93" s="351"/>
      <c r="CP93" s="351"/>
      <c r="CQ93" s="351"/>
      <c r="CR93" s="351"/>
      <c r="CS93" s="351"/>
      <c r="CT93" s="351"/>
      <c r="CU93" s="351"/>
      <c r="CV93" s="351"/>
      <c r="CW93" s="351"/>
      <c r="CX93" s="351"/>
      <c r="CY93" s="351"/>
      <c r="CZ93" s="351"/>
      <c r="DA93" s="351"/>
      <c r="DB93" s="351"/>
      <c r="DC93" s="351"/>
      <c r="DD93" s="351"/>
      <c r="DE93" s="351"/>
      <c r="DF93" s="351"/>
    </row>
    <row r="94" spans="1:110" ht="23.1" customHeight="1">
      <c r="A94" s="391"/>
      <c r="B94" s="351"/>
      <c r="C94" s="351"/>
      <c r="D94" s="351"/>
      <c r="E94" s="351"/>
      <c r="F94" s="351"/>
      <c r="G94" s="351"/>
      <c r="H94" s="351"/>
      <c r="I94" s="351"/>
      <c r="J94" s="351"/>
      <c r="K94" s="351"/>
      <c r="L94" s="351"/>
      <c r="M94" s="351"/>
      <c r="N94" s="351"/>
      <c r="O94" s="351"/>
      <c r="P94" s="351"/>
      <c r="Q94" s="351"/>
      <c r="R94" s="351"/>
      <c r="S94" s="351"/>
      <c r="T94" s="351"/>
      <c r="U94" s="351"/>
      <c r="V94" s="351"/>
      <c r="W94" s="351"/>
      <c r="X94" s="351"/>
      <c r="Y94" s="351"/>
      <c r="Z94" s="351"/>
      <c r="AA94" s="351"/>
      <c r="AB94" s="351"/>
      <c r="AC94" s="351"/>
      <c r="AD94" s="351"/>
      <c r="AE94" s="351"/>
      <c r="AI94" s="391"/>
      <c r="BQ94" s="391"/>
      <c r="BZ94" s="351"/>
      <c r="CA94" s="351"/>
      <c r="CB94" s="351"/>
      <c r="CC94" s="351"/>
      <c r="CD94" s="351"/>
      <c r="CE94" s="351"/>
      <c r="CF94" s="351"/>
      <c r="CG94" s="351"/>
      <c r="CH94" s="351"/>
      <c r="CI94" s="351"/>
      <c r="CJ94" s="351"/>
      <c r="CK94" s="351"/>
      <c r="CL94" s="351"/>
      <c r="CM94" s="351"/>
      <c r="CN94" s="351"/>
      <c r="CO94" s="351"/>
      <c r="CP94" s="351"/>
      <c r="CQ94" s="351"/>
      <c r="CR94" s="351"/>
      <c r="CS94" s="351"/>
      <c r="CT94" s="351"/>
      <c r="CU94" s="351"/>
      <c r="CV94" s="351"/>
      <c r="CW94" s="351"/>
      <c r="CX94" s="351"/>
      <c r="CY94" s="351"/>
      <c r="CZ94" s="351"/>
      <c r="DA94" s="351"/>
      <c r="DB94" s="351"/>
      <c r="DC94" s="351"/>
      <c r="DD94" s="351"/>
      <c r="DE94" s="351"/>
      <c r="DF94" s="351"/>
    </row>
    <row r="95" spans="1:110" ht="23.1" customHeight="1">
      <c r="A95" s="391"/>
      <c r="B95" s="351"/>
      <c r="C95" s="351"/>
      <c r="D95" s="351"/>
      <c r="E95" s="351"/>
      <c r="F95" s="351"/>
      <c r="G95" s="351"/>
      <c r="H95" s="351"/>
      <c r="I95" s="351"/>
      <c r="J95" s="351"/>
      <c r="K95" s="351"/>
      <c r="L95" s="351"/>
      <c r="M95" s="351"/>
      <c r="N95" s="351"/>
      <c r="O95" s="351"/>
      <c r="P95" s="351"/>
      <c r="Q95" s="351"/>
      <c r="R95" s="351"/>
      <c r="S95" s="351"/>
      <c r="T95" s="351"/>
      <c r="U95" s="351"/>
      <c r="V95" s="351"/>
      <c r="W95" s="351"/>
      <c r="X95" s="351"/>
      <c r="Y95" s="351"/>
      <c r="Z95" s="351"/>
      <c r="AA95" s="351"/>
      <c r="AB95" s="351"/>
      <c r="AC95" s="351"/>
      <c r="AD95" s="351"/>
      <c r="AE95" s="351"/>
      <c r="AF95" s="351"/>
      <c r="AG95" s="351"/>
      <c r="AH95" s="351"/>
      <c r="AI95" s="391"/>
      <c r="AJ95" s="351"/>
      <c r="AK95" s="351"/>
      <c r="AL95" s="351"/>
      <c r="AM95" s="351"/>
      <c r="AN95" s="351"/>
      <c r="AO95" s="351"/>
      <c r="AP95" s="351"/>
      <c r="AQ95" s="351"/>
      <c r="AR95" s="351"/>
      <c r="AS95" s="351"/>
      <c r="AT95" s="351"/>
      <c r="AU95" s="351"/>
      <c r="AV95" s="351"/>
      <c r="AW95" s="351"/>
      <c r="AX95" s="351"/>
      <c r="AY95" s="351"/>
      <c r="AZ95" s="351"/>
      <c r="BA95" s="351"/>
      <c r="BB95" s="351"/>
      <c r="BC95" s="351"/>
      <c r="BD95" s="351"/>
      <c r="BE95" s="351"/>
      <c r="BF95" s="351"/>
      <c r="BG95" s="351"/>
      <c r="BH95" s="351"/>
      <c r="BI95" s="351"/>
      <c r="BJ95" s="351"/>
      <c r="BK95" s="351"/>
      <c r="BL95" s="351"/>
      <c r="BM95" s="351"/>
      <c r="BN95" s="351"/>
      <c r="BO95" s="351"/>
      <c r="BP95" s="351"/>
      <c r="BQ95" s="391"/>
      <c r="BR95" s="351"/>
      <c r="BS95" s="351"/>
      <c r="BT95" s="351"/>
      <c r="BU95" s="351"/>
      <c r="BV95" s="351"/>
      <c r="BW95" s="351"/>
      <c r="BX95" s="351"/>
      <c r="BY95" s="351"/>
      <c r="BZ95" s="351"/>
      <c r="CA95" s="351"/>
      <c r="CB95" s="351"/>
      <c r="CC95" s="351"/>
      <c r="CD95" s="351"/>
      <c r="CE95" s="351"/>
      <c r="CF95" s="351"/>
      <c r="CG95" s="351"/>
      <c r="CH95" s="351"/>
      <c r="CI95" s="351"/>
      <c r="CJ95" s="351"/>
      <c r="CK95" s="351"/>
      <c r="CL95" s="351"/>
      <c r="CM95" s="351"/>
      <c r="CN95" s="351"/>
      <c r="CO95" s="351"/>
      <c r="CP95" s="351"/>
      <c r="CQ95" s="351"/>
      <c r="CR95" s="351"/>
      <c r="CS95" s="351"/>
      <c r="CT95" s="351"/>
      <c r="CU95" s="351"/>
      <c r="CV95" s="351"/>
      <c r="CW95" s="351"/>
      <c r="CX95" s="351"/>
      <c r="CY95" s="351"/>
      <c r="CZ95" s="351"/>
      <c r="DA95" s="351"/>
      <c r="DB95" s="351"/>
      <c r="DC95" s="351"/>
      <c r="DD95" s="351"/>
      <c r="DE95" s="351"/>
      <c r="DF95" s="351"/>
    </row>
    <row r="96" spans="1:110" ht="24" customHeight="1">
      <c r="A96" s="391"/>
      <c r="B96" s="351"/>
      <c r="C96" s="351"/>
      <c r="D96" s="351"/>
      <c r="E96" s="351"/>
      <c r="F96" s="351"/>
      <c r="G96" s="351"/>
      <c r="H96" s="351"/>
      <c r="I96" s="351"/>
      <c r="J96" s="351"/>
      <c r="K96" s="351"/>
      <c r="L96" s="351"/>
      <c r="M96" s="351"/>
      <c r="N96" s="351"/>
      <c r="O96" s="351"/>
      <c r="P96" s="351"/>
      <c r="Q96" s="351"/>
      <c r="R96" s="351"/>
      <c r="S96" s="351"/>
      <c r="T96" s="351"/>
      <c r="U96" s="351"/>
      <c r="V96" s="351"/>
      <c r="W96" s="351"/>
      <c r="X96" s="351"/>
      <c r="Y96" s="351"/>
      <c r="Z96" s="351"/>
      <c r="AA96" s="351"/>
      <c r="AB96" s="351"/>
      <c r="AC96" s="351"/>
      <c r="AD96" s="351"/>
      <c r="AE96" s="351"/>
      <c r="AF96" s="351"/>
      <c r="AG96" s="351"/>
      <c r="AH96" s="351"/>
      <c r="AI96" s="391"/>
      <c r="AJ96" s="351"/>
      <c r="AK96" s="351"/>
      <c r="AL96" s="351"/>
      <c r="AM96" s="351"/>
      <c r="AN96" s="351"/>
      <c r="AO96" s="351"/>
      <c r="AP96" s="351"/>
      <c r="AQ96" s="351"/>
      <c r="AR96" s="351"/>
      <c r="AS96" s="351"/>
      <c r="AT96" s="351"/>
      <c r="AU96" s="351"/>
      <c r="AV96" s="351"/>
      <c r="AW96" s="351"/>
      <c r="AX96" s="351"/>
      <c r="AY96" s="351"/>
      <c r="AZ96" s="351"/>
      <c r="BA96" s="351"/>
      <c r="BB96" s="351"/>
      <c r="BC96" s="351"/>
      <c r="BD96" s="351"/>
      <c r="BE96" s="351"/>
      <c r="BF96" s="351"/>
      <c r="BG96" s="351"/>
      <c r="BH96" s="351"/>
      <c r="BI96" s="351"/>
      <c r="BJ96" s="351"/>
      <c r="BK96" s="351"/>
      <c r="BL96" s="351"/>
      <c r="BM96" s="351"/>
      <c r="BN96" s="351"/>
      <c r="BO96" s="351"/>
      <c r="BP96" s="351"/>
      <c r="BQ96" s="391"/>
      <c r="BR96" s="351"/>
      <c r="BS96" s="351"/>
      <c r="BT96" s="351"/>
      <c r="BU96" s="351"/>
      <c r="BV96" s="351"/>
      <c r="BW96" s="351"/>
      <c r="BX96" s="351"/>
      <c r="BY96" s="351"/>
      <c r="BZ96" s="351"/>
      <c r="CA96" s="351"/>
      <c r="CB96" s="351"/>
      <c r="CC96" s="351"/>
      <c r="CD96" s="351"/>
      <c r="CE96" s="351"/>
      <c r="CF96" s="351"/>
      <c r="CG96" s="351"/>
      <c r="CH96" s="351"/>
      <c r="CI96" s="351"/>
      <c r="CJ96" s="351"/>
      <c r="CK96" s="351"/>
      <c r="CL96" s="351"/>
      <c r="CM96" s="351"/>
      <c r="CN96" s="351"/>
      <c r="CO96" s="351"/>
      <c r="CP96" s="351"/>
      <c r="CQ96" s="351"/>
      <c r="CR96" s="351"/>
      <c r="CS96" s="351"/>
      <c r="CT96" s="351"/>
      <c r="CU96" s="351"/>
      <c r="CV96" s="351"/>
      <c r="CW96" s="351"/>
      <c r="CX96" s="351"/>
      <c r="CY96" s="351"/>
      <c r="CZ96" s="351"/>
      <c r="DA96" s="351"/>
      <c r="DB96" s="351"/>
      <c r="DC96" s="351"/>
      <c r="DD96" s="351"/>
      <c r="DE96" s="351"/>
      <c r="DF96" s="351"/>
    </row>
    <row r="97" spans="1:110" ht="24" customHeight="1">
      <c r="A97" s="391"/>
      <c r="AF97" s="351"/>
      <c r="AG97" s="351"/>
      <c r="AH97" s="351"/>
      <c r="AI97" s="391"/>
      <c r="AJ97" s="351"/>
      <c r="AK97" s="351"/>
      <c r="AL97" s="351"/>
      <c r="AM97" s="351"/>
      <c r="AN97" s="351"/>
      <c r="AO97" s="351"/>
      <c r="AP97" s="351"/>
      <c r="AQ97" s="351"/>
      <c r="AR97" s="351"/>
      <c r="AS97" s="351"/>
      <c r="AT97" s="351"/>
      <c r="AU97" s="351"/>
      <c r="AV97" s="351"/>
      <c r="AW97" s="351"/>
      <c r="AX97" s="351"/>
      <c r="AY97" s="351"/>
      <c r="AZ97" s="351"/>
      <c r="BA97" s="351"/>
      <c r="BB97" s="351"/>
      <c r="BC97" s="351"/>
      <c r="BD97" s="351"/>
      <c r="BE97" s="351"/>
      <c r="BF97" s="351"/>
      <c r="BG97" s="351"/>
      <c r="BH97" s="351"/>
      <c r="BI97" s="351"/>
      <c r="BJ97" s="351"/>
      <c r="BK97" s="351"/>
      <c r="BL97" s="351"/>
      <c r="BM97" s="351"/>
      <c r="BN97" s="351"/>
      <c r="BO97" s="351"/>
      <c r="BP97" s="351"/>
      <c r="BQ97" s="391"/>
      <c r="BR97" s="351"/>
      <c r="BS97" s="351"/>
      <c r="BT97" s="351"/>
      <c r="BU97" s="351"/>
      <c r="BV97" s="351"/>
      <c r="BW97" s="351"/>
      <c r="BX97" s="351"/>
      <c r="BY97" s="351"/>
      <c r="BZ97" s="351"/>
      <c r="CA97" s="351"/>
      <c r="CB97" s="351"/>
      <c r="CC97" s="351"/>
      <c r="CD97" s="351"/>
      <c r="CE97" s="351"/>
      <c r="CF97" s="351"/>
      <c r="CG97" s="351"/>
      <c r="CH97" s="351"/>
      <c r="CI97" s="351"/>
      <c r="CJ97" s="351"/>
      <c r="CK97" s="351"/>
      <c r="CL97" s="351"/>
      <c r="CM97" s="351"/>
      <c r="CN97" s="351"/>
      <c r="CO97" s="351"/>
      <c r="CP97" s="351"/>
      <c r="CQ97" s="351"/>
      <c r="CR97" s="351"/>
      <c r="CS97" s="351"/>
      <c r="CT97" s="351"/>
      <c r="CU97" s="351"/>
      <c r="CV97" s="351"/>
      <c r="CW97" s="351"/>
      <c r="CX97" s="351"/>
      <c r="CY97" s="351"/>
      <c r="CZ97" s="351"/>
      <c r="DA97" s="351"/>
      <c r="DB97" s="351"/>
      <c r="DC97" s="351"/>
      <c r="DD97" s="351"/>
      <c r="DE97" s="351"/>
      <c r="DF97" s="351"/>
    </row>
    <row r="98" spans="1:110" ht="24" customHeight="1">
      <c r="A98" s="391"/>
      <c r="AF98" s="351"/>
      <c r="AG98" s="351"/>
      <c r="AH98" s="351"/>
      <c r="AI98" s="391"/>
      <c r="AJ98" s="351"/>
      <c r="AK98" s="351"/>
      <c r="AL98" s="351"/>
      <c r="AM98" s="351"/>
      <c r="AN98" s="351"/>
      <c r="AO98" s="351"/>
      <c r="AP98" s="351"/>
      <c r="AQ98" s="351"/>
      <c r="AR98" s="351"/>
      <c r="AS98" s="351"/>
      <c r="AT98" s="351"/>
      <c r="AU98" s="351"/>
      <c r="AV98" s="351"/>
      <c r="AW98" s="351"/>
      <c r="AX98" s="351"/>
      <c r="AY98" s="351"/>
      <c r="AZ98" s="351"/>
      <c r="BA98" s="351"/>
      <c r="BB98" s="351"/>
      <c r="BC98" s="351"/>
      <c r="BD98" s="351"/>
      <c r="BE98" s="351"/>
      <c r="BF98" s="351"/>
      <c r="BG98" s="351"/>
      <c r="BH98" s="351"/>
      <c r="BI98" s="351"/>
      <c r="BJ98" s="351"/>
      <c r="BK98" s="351"/>
      <c r="BL98" s="351"/>
      <c r="BM98" s="351"/>
      <c r="BN98" s="351"/>
      <c r="BO98" s="351"/>
      <c r="BP98" s="351"/>
      <c r="BQ98" s="391"/>
      <c r="BR98" s="351"/>
      <c r="BS98" s="351"/>
      <c r="BT98" s="351"/>
      <c r="BU98" s="351"/>
      <c r="BV98" s="351"/>
      <c r="BW98" s="351"/>
      <c r="BX98" s="351"/>
      <c r="BY98" s="351"/>
      <c r="BZ98" s="351"/>
      <c r="CA98" s="351"/>
      <c r="CB98" s="351"/>
      <c r="CC98" s="351"/>
      <c r="CD98" s="351"/>
      <c r="CE98" s="351"/>
      <c r="CF98" s="351"/>
      <c r="CG98" s="351"/>
      <c r="CH98" s="351"/>
      <c r="CI98" s="351"/>
      <c r="CJ98" s="351"/>
      <c r="CK98" s="351"/>
      <c r="CL98" s="351"/>
      <c r="CM98" s="351"/>
      <c r="CN98" s="351"/>
      <c r="CO98" s="351"/>
      <c r="CP98" s="351"/>
      <c r="CQ98" s="351"/>
      <c r="CR98" s="351"/>
      <c r="CS98" s="351"/>
      <c r="CT98" s="351"/>
      <c r="CU98" s="351"/>
      <c r="CV98" s="351"/>
      <c r="CW98" s="351"/>
      <c r="CX98" s="351"/>
      <c r="CY98" s="351"/>
      <c r="CZ98" s="351"/>
      <c r="DA98" s="351"/>
      <c r="DB98" s="351"/>
      <c r="DC98" s="351"/>
      <c r="DD98" s="351"/>
      <c r="DE98" s="351"/>
      <c r="DF98" s="351"/>
    </row>
    <row r="99" spans="1:110" ht="24" customHeight="1">
      <c r="A99" s="391"/>
      <c r="AF99" s="351"/>
      <c r="AG99" s="351"/>
      <c r="AH99" s="351"/>
      <c r="AI99" s="391"/>
      <c r="AJ99" s="351"/>
      <c r="AK99" s="351"/>
      <c r="AL99" s="351"/>
      <c r="AM99" s="351"/>
      <c r="AN99" s="351"/>
      <c r="AO99" s="351"/>
      <c r="AP99" s="351"/>
      <c r="AQ99" s="351"/>
      <c r="AR99" s="351"/>
      <c r="AS99" s="351"/>
      <c r="AT99" s="351"/>
      <c r="AU99" s="351"/>
      <c r="AV99" s="351"/>
      <c r="AW99" s="351"/>
      <c r="AX99" s="351"/>
      <c r="AY99" s="351"/>
      <c r="AZ99" s="351"/>
      <c r="BA99" s="351"/>
      <c r="BB99" s="351"/>
      <c r="BC99" s="351"/>
      <c r="BD99" s="351"/>
      <c r="BE99" s="351"/>
      <c r="BF99" s="351"/>
      <c r="BG99" s="351"/>
      <c r="BH99" s="351"/>
      <c r="BI99" s="351"/>
      <c r="BJ99" s="351"/>
      <c r="BK99" s="351"/>
      <c r="BL99" s="351"/>
      <c r="BM99" s="351"/>
      <c r="BN99" s="351"/>
      <c r="BO99" s="351"/>
      <c r="BP99" s="351"/>
      <c r="BQ99" s="391"/>
      <c r="BR99" s="351"/>
      <c r="BS99" s="351"/>
      <c r="BT99" s="351"/>
      <c r="BU99" s="351"/>
      <c r="BV99" s="351"/>
      <c r="BW99" s="351"/>
      <c r="BX99" s="351"/>
      <c r="BY99" s="351"/>
      <c r="BZ99" s="351"/>
      <c r="CA99" s="351"/>
      <c r="CB99" s="351"/>
      <c r="CC99" s="351"/>
      <c r="CD99" s="351"/>
      <c r="CE99" s="351"/>
      <c r="CF99" s="351"/>
      <c r="CG99" s="351"/>
      <c r="CH99" s="351"/>
      <c r="CI99" s="351"/>
      <c r="CJ99" s="351"/>
      <c r="CK99" s="351"/>
      <c r="CL99" s="351"/>
      <c r="CM99" s="351"/>
      <c r="CN99" s="351"/>
      <c r="CO99" s="351"/>
      <c r="CP99" s="351"/>
      <c r="CQ99" s="351"/>
      <c r="CR99" s="351"/>
      <c r="CS99" s="351"/>
      <c r="CT99" s="351"/>
      <c r="CU99" s="351"/>
      <c r="CV99" s="351"/>
      <c r="CW99" s="351"/>
      <c r="CX99" s="351"/>
      <c r="CY99" s="351"/>
      <c r="CZ99" s="351"/>
      <c r="DA99" s="351"/>
      <c r="DB99" s="351"/>
      <c r="DC99" s="351"/>
      <c r="DD99" s="351"/>
      <c r="DE99" s="351"/>
      <c r="DF99" s="351"/>
    </row>
    <row r="100" spans="1:110" ht="24" customHeight="1">
      <c r="A100" s="391"/>
      <c r="AF100" s="351"/>
      <c r="AG100" s="351"/>
      <c r="AH100" s="351"/>
      <c r="AI100" s="391"/>
      <c r="AJ100" s="351"/>
      <c r="AK100" s="351"/>
      <c r="AL100" s="351"/>
      <c r="AM100" s="351"/>
      <c r="AN100" s="351"/>
      <c r="AO100" s="351"/>
      <c r="AP100" s="351"/>
      <c r="AQ100" s="351"/>
      <c r="AR100" s="351"/>
      <c r="AS100" s="351"/>
      <c r="AT100" s="351"/>
      <c r="AU100" s="351"/>
      <c r="AV100" s="351"/>
      <c r="AW100" s="351"/>
      <c r="AX100" s="351"/>
      <c r="AY100" s="351"/>
      <c r="AZ100" s="351"/>
      <c r="BA100" s="351"/>
      <c r="BB100" s="351"/>
      <c r="BC100" s="351"/>
      <c r="BD100" s="351"/>
      <c r="BE100" s="351"/>
      <c r="BF100" s="351"/>
      <c r="BG100" s="351"/>
      <c r="BH100" s="351"/>
      <c r="BI100" s="351"/>
      <c r="BJ100" s="351"/>
      <c r="BK100" s="351"/>
      <c r="BL100" s="351"/>
      <c r="BM100" s="351"/>
      <c r="BN100" s="351"/>
      <c r="BO100" s="351"/>
      <c r="BP100" s="351"/>
      <c r="BQ100" s="391"/>
      <c r="BR100" s="351"/>
      <c r="BS100" s="351"/>
      <c r="BT100" s="351"/>
      <c r="BU100" s="351"/>
      <c r="BV100" s="351"/>
      <c r="BW100" s="351"/>
      <c r="BX100" s="351"/>
      <c r="BY100" s="351"/>
      <c r="BZ100" s="351"/>
      <c r="CA100" s="351"/>
      <c r="CB100" s="351"/>
      <c r="CC100" s="351"/>
      <c r="CD100" s="351"/>
      <c r="CE100" s="351"/>
      <c r="CF100" s="351"/>
      <c r="CG100" s="351"/>
      <c r="CH100" s="351"/>
      <c r="CI100" s="351"/>
      <c r="CJ100" s="351"/>
      <c r="CK100" s="351"/>
      <c r="CL100" s="351"/>
      <c r="CM100" s="351"/>
      <c r="CN100" s="351"/>
      <c r="CO100" s="351"/>
      <c r="CP100" s="351"/>
      <c r="CQ100" s="351"/>
      <c r="CR100" s="351"/>
      <c r="CS100" s="351"/>
      <c r="CT100" s="351"/>
      <c r="CU100" s="351"/>
      <c r="CV100" s="351"/>
      <c r="CW100" s="351"/>
      <c r="CX100" s="351"/>
      <c r="CY100" s="351"/>
      <c r="CZ100" s="351"/>
      <c r="DA100" s="351"/>
      <c r="DB100" s="351"/>
      <c r="DC100" s="351"/>
      <c r="DD100" s="351"/>
      <c r="DE100" s="351"/>
      <c r="DF100" s="351"/>
    </row>
    <row r="101" spans="1:110" ht="24" customHeight="1">
      <c r="A101" s="391"/>
      <c r="AF101" s="351"/>
      <c r="AG101" s="351"/>
      <c r="AH101" s="351"/>
      <c r="AI101" s="391"/>
      <c r="AJ101" s="351"/>
      <c r="AK101" s="351"/>
      <c r="AL101" s="351"/>
      <c r="AM101" s="351"/>
      <c r="AN101" s="351"/>
      <c r="AO101" s="351"/>
      <c r="AP101" s="351"/>
      <c r="AQ101" s="351"/>
      <c r="AR101" s="351"/>
      <c r="AS101" s="351"/>
      <c r="AT101" s="351"/>
      <c r="AU101" s="351"/>
      <c r="AV101" s="351"/>
      <c r="AW101" s="351"/>
      <c r="AX101" s="351"/>
      <c r="AY101" s="351"/>
      <c r="AZ101" s="351"/>
      <c r="BA101" s="351"/>
      <c r="BB101" s="351"/>
      <c r="BC101" s="351"/>
      <c r="BD101" s="351"/>
      <c r="BE101" s="351"/>
      <c r="BF101" s="351"/>
      <c r="BG101" s="351"/>
      <c r="BH101" s="351"/>
      <c r="BI101" s="351"/>
      <c r="BJ101" s="351"/>
      <c r="BK101" s="351"/>
      <c r="BL101" s="351"/>
      <c r="BM101" s="351"/>
      <c r="BN101" s="351"/>
      <c r="BO101" s="351"/>
      <c r="BP101" s="351"/>
      <c r="BQ101" s="391"/>
      <c r="BR101" s="351"/>
      <c r="BS101" s="351"/>
      <c r="BT101" s="351"/>
      <c r="BU101" s="351"/>
      <c r="BV101" s="351"/>
      <c r="BW101" s="351"/>
      <c r="BX101" s="351"/>
      <c r="BY101" s="351"/>
      <c r="BZ101" s="351"/>
      <c r="CA101" s="351"/>
      <c r="CB101" s="351"/>
      <c r="CC101" s="351"/>
      <c r="CD101" s="351"/>
      <c r="CE101" s="351"/>
      <c r="CF101" s="351"/>
      <c r="CG101" s="351"/>
      <c r="CH101" s="351"/>
      <c r="CI101" s="351"/>
      <c r="CJ101" s="351"/>
      <c r="CK101" s="351"/>
      <c r="CL101" s="351"/>
      <c r="CM101" s="351"/>
      <c r="CN101" s="351"/>
      <c r="CO101" s="351"/>
      <c r="CP101" s="351"/>
      <c r="CQ101" s="351"/>
      <c r="CR101" s="351"/>
      <c r="CS101" s="351"/>
      <c r="CT101" s="351"/>
      <c r="CU101" s="351"/>
      <c r="CV101" s="351"/>
      <c r="CW101" s="351"/>
      <c r="CX101" s="351"/>
      <c r="CY101" s="351"/>
      <c r="CZ101" s="351"/>
      <c r="DA101" s="351"/>
      <c r="DB101" s="351"/>
      <c r="DC101" s="351"/>
      <c r="DD101" s="351"/>
      <c r="DE101" s="351"/>
      <c r="DF101" s="351"/>
    </row>
    <row r="102" spans="1:110" ht="24" customHeight="1">
      <c r="A102" s="391"/>
      <c r="AF102" s="351"/>
      <c r="AG102" s="351"/>
      <c r="AH102" s="351"/>
      <c r="AI102" s="391"/>
      <c r="AJ102" s="351"/>
      <c r="AK102" s="351"/>
      <c r="AL102" s="351"/>
      <c r="AM102" s="351"/>
      <c r="AN102" s="351"/>
      <c r="AO102" s="351"/>
      <c r="AP102" s="351"/>
      <c r="AQ102" s="351"/>
      <c r="AR102" s="351"/>
      <c r="AS102" s="351"/>
      <c r="AT102" s="351"/>
      <c r="AU102" s="351"/>
      <c r="AV102" s="351"/>
      <c r="AW102" s="351"/>
      <c r="AX102" s="351"/>
      <c r="AY102" s="351"/>
      <c r="AZ102" s="351"/>
      <c r="BA102" s="351"/>
      <c r="BB102" s="351"/>
      <c r="BC102" s="351"/>
      <c r="BD102" s="351"/>
      <c r="BE102" s="351"/>
      <c r="BF102" s="351"/>
      <c r="BG102" s="351"/>
      <c r="BH102" s="351"/>
      <c r="BI102" s="351"/>
      <c r="BJ102" s="351"/>
      <c r="BK102" s="351"/>
      <c r="BL102" s="351"/>
      <c r="BM102" s="351"/>
      <c r="BN102" s="351"/>
      <c r="BO102" s="351"/>
      <c r="BP102" s="351"/>
      <c r="BQ102" s="391"/>
      <c r="BR102" s="351"/>
      <c r="BS102" s="351"/>
      <c r="BT102" s="351"/>
      <c r="BU102" s="351"/>
      <c r="BV102" s="351"/>
      <c r="BW102" s="351"/>
      <c r="BX102" s="351"/>
      <c r="BY102" s="351"/>
      <c r="BZ102" s="351"/>
      <c r="CA102" s="351"/>
      <c r="CB102" s="351"/>
      <c r="CC102" s="351"/>
      <c r="CD102" s="351"/>
      <c r="CE102" s="351"/>
      <c r="CF102" s="351"/>
      <c r="CG102" s="351"/>
      <c r="CH102" s="351"/>
      <c r="CI102" s="351"/>
      <c r="CJ102" s="351"/>
      <c r="CK102" s="351"/>
      <c r="CL102" s="351"/>
      <c r="CM102" s="351"/>
      <c r="CN102" s="351"/>
      <c r="CO102" s="351"/>
      <c r="CP102" s="351"/>
      <c r="CQ102" s="351"/>
      <c r="CR102" s="351"/>
      <c r="CS102" s="351"/>
      <c r="CT102" s="351"/>
      <c r="CU102" s="351"/>
      <c r="CV102" s="351"/>
      <c r="CW102" s="351"/>
      <c r="CX102" s="351"/>
      <c r="CY102" s="351"/>
      <c r="CZ102" s="351"/>
      <c r="DA102" s="351"/>
      <c r="DB102" s="351"/>
      <c r="DC102" s="351"/>
      <c r="DD102" s="351"/>
      <c r="DE102" s="351"/>
      <c r="DF102" s="351"/>
    </row>
    <row r="103" spans="1:110" ht="24" customHeight="1">
      <c r="A103" s="391"/>
      <c r="AF103" s="351"/>
      <c r="AG103" s="351"/>
      <c r="AH103" s="351"/>
      <c r="AI103" s="391"/>
      <c r="AJ103" s="351"/>
      <c r="AK103" s="351"/>
      <c r="AL103" s="351"/>
      <c r="AM103" s="351"/>
      <c r="AN103" s="351"/>
      <c r="AO103" s="351"/>
      <c r="AP103" s="351"/>
      <c r="AQ103" s="351"/>
      <c r="AR103" s="351"/>
      <c r="AS103" s="351"/>
      <c r="AT103" s="351"/>
      <c r="AU103" s="351"/>
      <c r="AV103" s="351"/>
      <c r="AW103" s="351"/>
      <c r="AX103" s="351"/>
      <c r="AY103" s="351"/>
      <c r="AZ103" s="351"/>
      <c r="BA103" s="351"/>
      <c r="BB103" s="351"/>
      <c r="BC103" s="351"/>
      <c r="BD103" s="351"/>
      <c r="BE103" s="351"/>
      <c r="BF103" s="351"/>
      <c r="BG103" s="351"/>
      <c r="BH103" s="351"/>
      <c r="BI103" s="351"/>
      <c r="BJ103" s="351"/>
      <c r="BK103" s="351"/>
      <c r="BL103" s="351"/>
      <c r="BM103" s="351"/>
      <c r="BN103" s="351"/>
      <c r="BO103" s="351"/>
      <c r="BP103" s="351"/>
      <c r="BQ103" s="391"/>
      <c r="BR103" s="351"/>
      <c r="BS103" s="351"/>
      <c r="BT103" s="351"/>
      <c r="BU103" s="351"/>
      <c r="BV103" s="351"/>
      <c r="BW103" s="351"/>
      <c r="BX103" s="351"/>
      <c r="BY103" s="351"/>
      <c r="BZ103" s="351"/>
      <c r="CA103" s="351"/>
      <c r="CB103" s="351"/>
      <c r="CC103" s="351"/>
      <c r="CD103" s="351"/>
      <c r="CE103" s="351"/>
      <c r="CF103" s="351"/>
      <c r="CG103" s="351"/>
      <c r="CH103" s="351"/>
      <c r="CI103" s="351"/>
      <c r="CJ103" s="351"/>
      <c r="CK103" s="351"/>
      <c r="CL103" s="351"/>
      <c r="CM103" s="351"/>
      <c r="CN103" s="351"/>
      <c r="CO103" s="351"/>
      <c r="CP103" s="351"/>
      <c r="CQ103" s="351"/>
      <c r="CR103" s="351"/>
      <c r="CS103" s="351"/>
      <c r="CT103" s="351"/>
      <c r="CU103" s="351"/>
      <c r="CV103" s="351"/>
      <c r="CW103" s="351"/>
      <c r="CX103" s="351"/>
      <c r="CY103" s="351"/>
      <c r="CZ103" s="351"/>
      <c r="DA103" s="351"/>
      <c r="DB103" s="351"/>
      <c r="DC103" s="351"/>
      <c r="DD103" s="351"/>
      <c r="DE103" s="351"/>
      <c r="DF103" s="351"/>
    </row>
    <row r="104" spans="1:110" ht="24" customHeight="1">
      <c r="A104" s="391"/>
      <c r="AF104" s="351"/>
      <c r="AG104" s="351"/>
      <c r="AH104" s="351"/>
      <c r="AI104" s="391"/>
      <c r="AJ104" s="351"/>
      <c r="AK104" s="351"/>
      <c r="AL104" s="351"/>
      <c r="AM104" s="351"/>
      <c r="AN104" s="351"/>
      <c r="AO104" s="351"/>
      <c r="AP104" s="351"/>
      <c r="AQ104" s="351"/>
      <c r="AR104" s="351"/>
      <c r="AS104" s="351"/>
      <c r="AT104" s="351"/>
      <c r="AU104" s="351"/>
      <c r="AV104" s="351"/>
      <c r="AW104" s="351"/>
      <c r="AX104" s="351"/>
      <c r="AY104" s="351"/>
      <c r="AZ104" s="351"/>
      <c r="BA104" s="351"/>
      <c r="BB104" s="351"/>
      <c r="BC104" s="351"/>
      <c r="BD104" s="351"/>
      <c r="BE104" s="351"/>
      <c r="BF104" s="351"/>
      <c r="BG104" s="351"/>
      <c r="BH104" s="351"/>
      <c r="BI104" s="351"/>
      <c r="BJ104" s="351"/>
      <c r="BK104" s="351"/>
      <c r="BL104" s="351"/>
      <c r="BM104" s="351"/>
      <c r="BN104" s="351"/>
      <c r="BO104" s="351"/>
      <c r="BP104" s="351"/>
      <c r="BQ104" s="391"/>
      <c r="BR104" s="351"/>
      <c r="BS104" s="351"/>
      <c r="BT104" s="351"/>
      <c r="BU104" s="351"/>
      <c r="BV104" s="351"/>
      <c r="BW104" s="351"/>
      <c r="BX104" s="351"/>
      <c r="BY104" s="351"/>
      <c r="BZ104" s="351"/>
      <c r="CA104" s="351"/>
      <c r="CB104" s="351"/>
      <c r="CC104" s="351"/>
      <c r="CD104" s="351"/>
      <c r="CE104" s="351"/>
      <c r="CF104" s="351"/>
      <c r="CG104" s="351"/>
      <c r="CH104" s="351"/>
      <c r="CI104" s="351"/>
      <c r="CJ104" s="351"/>
      <c r="CK104" s="351"/>
      <c r="CL104" s="351"/>
      <c r="CM104" s="351"/>
      <c r="CN104" s="351"/>
      <c r="CO104" s="351"/>
      <c r="CP104" s="351"/>
      <c r="CQ104" s="351"/>
      <c r="CR104" s="351"/>
      <c r="CS104" s="351"/>
      <c r="CT104" s="351"/>
      <c r="CU104" s="351"/>
      <c r="CV104" s="351"/>
      <c r="CW104" s="351"/>
      <c r="CX104" s="351"/>
      <c r="CY104" s="351"/>
      <c r="CZ104" s="351"/>
      <c r="DA104" s="351"/>
      <c r="DB104" s="351"/>
      <c r="DC104" s="351"/>
      <c r="DD104" s="351"/>
      <c r="DE104" s="351"/>
      <c r="DF104" s="351"/>
    </row>
    <row r="105" spans="1:110" ht="24" customHeight="1">
      <c r="A105" s="391"/>
      <c r="AF105" s="351"/>
      <c r="AG105" s="351"/>
      <c r="AH105" s="351"/>
      <c r="AI105" s="391"/>
      <c r="AJ105" s="351"/>
      <c r="AK105" s="351"/>
      <c r="AL105" s="351"/>
      <c r="AM105" s="351"/>
      <c r="AN105" s="351"/>
      <c r="AO105" s="351"/>
      <c r="AP105" s="351"/>
      <c r="AQ105" s="351"/>
      <c r="AR105" s="351"/>
      <c r="AS105" s="351"/>
      <c r="AT105" s="351"/>
      <c r="AU105" s="351"/>
      <c r="AV105" s="351"/>
      <c r="AW105" s="351"/>
      <c r="AX105" s="351"/>
      <c r="AY105" s="351"/>
      <c r="AZ105" s="351"/>
      <c r="BA105" s="351"/>
      <c r="BB105" s="351"/>
      <c r="BC105" s="351"/>
      <c r="BD105" s="351"/>
      <c r="BE105" s="351"/>
      <c r="BF105" s="351"/>
      <c r="BG105" s="351"/>
      <c r="BH105" s="351"/>
      <c r="BI105" s="351"/>
      <c r="BJ105" s="351"/>
      <c r="BK105" s="351"/>
      <c r="BL105" s="351"/>
      <c r="BM105" s="351"/>
      <c r="BN105" s="351"/>
      <c r="BO105" s="351"/>
      <c r="BP105" s="351"/>
      <c r="BQ105" s="391"/>
      <c r="BR105" s="351"/>
      <c r="BS105" s="351"/>
      <c r="BT105" s="351"/>
      <c r="BU105" s="351"/>
      <c r="BV105" s="351"/>
      <c r="BW105" s="351"/>
      <c r="BX105" s="351"/>
      <c r="BY105" s="351"/>
      <c r="BZ105" s="351"/>
      <c r="CA105" s="351"/>
      <c r="CB105" s="351"/>
      <c r="CC105" s="351"/>
      <c r="CD105" s="351"/>
      <c r="CE105" s="351"/>
      <c r="CF105" s="351"/>
      <c r="CG105" s="351"/>
      <c r="CH105" s="351"/>
      <c r="CI105" s="351"/>
      <c r="CJ105" s="351"/>
      <c r="CK105" s="351"/>
      <c r="CL105" s="351"/>
      <c r="CM105" s="351"/>
      <c r="CN105" s="351"/>
      <c r="CO105" s="351"/>
      <c r="CP105" s="351"/>
      <c r="CQ105" s="351"/>
      <c r="CR105" s="351"/>
      <c r="CS105" s="351"/>
      <c r="CT105" s="351"/>
      <c r="CU105" s="351"/>
      <c r="CV105" s="351"/>
      <c r="CW105" s="351"/>
      <c r="CX105" s="351"/>
      <c r="CY105" s="351"/>
      <c r="CZ105" s="351"/>
      <c r="DA105" s="351"/>
      <c r="DB105" s="351"/>
      <c r="DC105" s="351"/>
      <c r="DD105" s="351"/>
      <c r="DE105" s="351"/>
      <c r="DF105" s="351"/>
    </row>
    <row r="106" spans="1:110" ht="24" customHeight="1">
      <c r="A106" s="391"/>
      <c r="AI106" s="391"/>
      <c r="BQ106" s="391"/>
    </row>
    <row r="107" spans="1:110" ht="24" customHeight="1">
      <c r="A107" s="391"/>
      <c r="AI107" s="391"/>
      <c r="BQ107" s="391"/>
    </row>
    <row r="108" spans="1:110" ht="24" customHeight="1">
      <c r="A108" s="391"/>
      <c r="AI108" s="391"/>
      <c r="BQ108" s="391"/>
    </row>
    <row r="109" spans="1:110" ht="24" customHeight="1">
      <c r="A109" s="391"/>
      <c r="AI109" s="391"/>
      <c r="BQ109" s="391"/>
    </row>
    <row r="110" spans="1:110" ht="24" customHeight="1">
      <c r="A110" s="391"/>
      <c r="AI110" s="391"/>
      <c r="BQ110" s="391"/>
    </row>
    <row r="111" spans="1:110" ht="24" customHeight="1">
      <c r="A111" s="391"/>
      <c r="AI111" s="391"/>
      <c r="BQ111" s="391"/>
    </row>
    <row r="112" spans="1:110" ht="24" customHeight="1">
      <c r="A112" s="391"/>
      <c r="AI112" s="391"/>
      <c r="BQ112" s="391"/>
    </row>
    <row r="113" spans="1:69" ht="24" customHeight="1">
      <c r="A113" s="391"/>
      <c r="AI113" s="391"/>
      <c r="BQ113" s="391"/>
    </row>
    <row r="114" spans="1:69" ht="24" customHeight="1">
      <c r="A114" s="391"/>
      <c r="AI114" s="391"/>
      <c r="BQ114" s="391"/>
    </row>
    <row r="115" spans="1:69" ht="24" customHeight="1">
      <c r="A115" s="391"/>
      <c r="AI115" s="391"/>
      <c r="BQ115" s="391"/>
    </row>
    <row r="116" spans="1:69" ht="24" customHeight="1">
      <c r="A116" s="391"/>
      <c r="AI116" s="391"/>
      <c r="BQ116" s="391"/>
    </row>
    <row r="117" spans="1:69" ht="24" customHeight="1">
      <c r="A117" s="391"/>
      <c r="AI117" s="391"/>
      <c r="BQ117" s="391"/>
    </row>
    <row r="118" spans="1:69" ht="24" customHeight="1">
      <c r="A118" s="391"/>
      <c r="AI118" s="391"/>
      <c r="BQ118" s="391"/>
    </row>
    <row r="119" spans="1:69" ht="24" customHeight="1">
      <c r="A119" s="391"/>
      <c r="AI119" s="391"/>
      <c r="BQ119" s="391"/>
    </row>
    <row r="120" spans="1:69" ht="24" customHeight="1">
      <c r="A120" s="391"/>
      <c r="AI120" s="391"/>
      <c r="BQ120" s="391"/>
    </row>
    <row r="121" spans="1:69" ht="24" customHeight="1">
      <c r="A121" s="391"/>
      <c r="AI121" s="391"/>
      <c r="BQ121" s="391"/>
    </row>
    <row r="122" spans="1:69" ht="24" customHeight="1">
      <c r="A122" s="391"/>
      <c r="AI122" s="391"/>
      <c r="BQ122" s="391"/>
    </row>
    <row r="123" spans="1:69" ht="24" customHeight="1">
      <c r="A123" s="391"/>
      <c r="AI123" s="391"/>
      <c r="BQ123" s="391"/>
    </row>
    <row r="124" spans="1:69" ht="24" customHeight="1">
      <c r="A124" s="391"/>
      <c r="AI124" s="391"/>
      <c r="BQ124" s="391"/>
    </row>
    <row r="125" spans="1:69" ht="24" customHeight="1">
      <c r="A125" s="391"/>
      <c r="AI125" s="391"/>
      <c r="BQ125" s="391"/>
    </row>
    <row r="126" spans="1:69" ht="24" customHeight="1">
      <c r="A126" s="391"/>
      <c r="AI126" s="391"/>
      <c r="BQ126" s="391"/>
    </row>
    <row r="127" spans="1:69" ht="24" customHeight="1">
      <c r="A127" s="391"/>
      <c r="AI127" s="391"/>
      <c r="BQ127" s="391"/>
    </row>
    <row r="128" spans="1:69" ht="24" customHeight="1">
      <c r="A128" s="391"/>
      <c r="AI128" s="391"/>
      <c r="BQ128" s="391"/>
    </row>
    <row r="129" spans="1:69" ht="24" customHeight="1">
      <c r="A129" s="391"/>
      <c r="AI129" s="391"/>
      <c r="BQ129" s="391"/>
    </row>
    <row r="130" spans="1:69" ht="24" customHeight="1">
      <c r="A130" s="391"/>
      <c r="AI130" s="391"/>
      <c r="BQ130" s="391"/>
    </row>
    <row r="131" spans="1:69" ht="24" customHeight="1">
      <c r="A131" s="391"/>
      <c r="AI131" s="391"/>
      <c r="BQ131" s="391"/>
    </row>
    <row r="132" spans="1:69" ht="24" customHeight="1">
      <c r="A132" s="352"/>
      <c r="AI132" s="352"/>
      <c r="BQ132" s="352"/>
    </row>
    <row r="133" spans="1:69" ht="24" customHeight="1">
      <c r="A133" s="352"/>
      <c r="AI133" s="352"/>
      <c r="BQ133" s="352"/>
    </row>
    <row r="134" spans="1:69" ht="24" customHeight="1">
      <c r="A134" s="352"/>
      <c r="AI134" s="352"/>
      <c r="BQ134" s="352"/>
    </row>
    <row r="135" spans="1:69" ht="24" customHeight="1">
      <c r="A135" s="352"/>
      <c r="AI135" s="352"/>
      <c r="BQ135" s="352"/>
    </row>
    <row r="136" spans="1:69" ht="24" customHeight="1">
      <c r="A136" s="352"/>
      <c r="AI136" s="352"/>
      <c r="BQ136" s="352"/>
    </row>
    <row r="137" spans="1:69" ht="24" customHeight="1">
      <c r="A137" s="352"/>
      <c r="AI137" s="352"/>
      <c r="BQ137" s="352"/>
    </row>
    <row r="138" spans="1:69" ht="24" customHeight="1">
      <c r="A138" s="352"/>
      <c r="AI138" s="352"/>
      <c r="BQ138" s="352"/>
    </row>
    <row r="139" spans="1:69" ht="24" customHeight="1">
      <c r="A139" s="352"/>
      <c r="AI139" s="352"/>
      <c r="BQ139" s="352"/>
    </row>
    <row r="140" spans="1:69" ht="24" customHeight="1">
      <c r="A140" s="352"/>
      <c r="AI140" s="352"/>
      <c r="BQ140" s="352"/>
    </row>
    <row r="141" spans="1:69" ht="24" customHeight="1">
      <c r="A141" s="352"/>
      <c r="AI141" s="352"/>
      <c r="BQ141" s="352"/>
    </row>
    <row r="142" spans="1:69" ht="24" customHeight="1">
      <c r="A142" s="352"/>
      <c r="AI142" s="352"/>
      <c r="BQ142" s="352"/>
    </row>
    <row r="143" spans="1:69" ht="24" customHeight="1">
      <c r="A143" s="352"/>
      <c r="AI143" s="352"/>
      <c r="BQ143" s="352"/>
    </row>
    <row r="144" spans="1:69" ht="24" customHeight="1">
      <c r="A144" s="352"/>
      <c r="AI144" s="352"/>
      <c r="BQ144" s="352"/>
    </row>
    <row r="145" spans="1:69" ht="24" customHeight="1">
      <c r="A145" s="352"/>
      <c r="AI145" s="352"/>
      <c r="BQ145" s="352"/>
    </row>
    <row r="146" spans="1:69" ht="24" customHeight="1">
      <c r="A146" s="352"/>
      <c r="AI146" s="352"/>
      <c r="BQ146" s="352"/>
    </row>
    <row r="147" spans="1:69" ht="24" customHeight="1">
      <c r="A147" s="352"/>
      <c r="AI147" s="352"/>
      <c r="BQ147" s="352"/>
    </row>
    <row r="148" spans="1:69" ht="24" customHeight="1">
      <c r="A148" s="352"/>
      <c r="AI148" s="352"/>
      <c r="BQ148" s="352"/>
    </row>
    <row r="149" spans="1:69" ht="24" customHeight="1">
      <c r="A149" s="352"/>
      <c r="AI149" s="352"/>
      <c r="BQ149" s="352"/>
    </row>
    <row r="150" spans="1:69" ht="24" customHeight="1">
      <c r="A150" s="352"/>
      <c r="AI150" s="352"/>
      <c r="BQ150" s="352"/>
    </row>
    <row r="151" spans="1:69" ht="24" customHeight="1">
      <c r="A151" s="352"/>
      <c r="AI151" s="352"/>
      <c r="BQ151" s="352"/>
    </row>
    <row r="152" spans="1:69" ht="24" customHeight="1">
      <c r="A152" s="352"/>
      <c r="AI152" s="352"/>
      <c r="BQ152" s="352"/>
    </row>
    <row r="153" spans="1:69" ht="24" customHeight="1">
      <c r="A153" s="352"/>
      <c r="AI153" s="352"/>
      <c r="BQ153" s="352"/>
    </row>
    <row r="154" spans="1:69" ht="24" customHeight="1">
      <c r="A154" s="352"/>
      <c r="AI154" s="352"/>
      <c r="BQ154" s="352"/>
    </row>
    <row r="155" spans="1:69" ht="24" customHeight="1">
      <c r="A155" s="352"/>
      <c r="AI155" s="352"/>
      <c r="BQ155" s="352"/>
    </row>
    <row r="156" spans="1:69" ht="24" customHeight="1">
      <c r="A156" s="352"/>
      <c r="AI156" s="352"/>
      <c r="BQ156" s="352"/>
    </row>
    <row r="157" spans="1:69" ht="24" customHeight="1">
      <c r="A157" s="352"/>
      <c r="AI157" s="352"/>
      <c r="BQ157" s="352"/>
    </row>
    <row r="158" spans="1:69" ht="24" customHeight="1">
      <c r="A158" s="352"/>
      <c r="AI158" s="352"/>
      <c r="BQ158" s="352"/>
    </row>
    <row r="159" spans="1:69" ht="24" customHeight="1">
      <c r="A159" s="352"/>
      <c r="AI159" s="352"/>
      <c r="BQ159" s="352"/>
    </row>
    <row r="160" spans="1:69" ht="24" customHeight="1">
      <c r="A160" s="352"/>
      <c r="AI160" s="352"/>
      <c r="BQ160" s="352"/>
    </row>
    <row r="161" spans="1:69" ht="24" customHeight="1">
      <c r="A161" s="352"/>
      <c r="AI161" s="352"/>
      <c r="BQ161" s="352"/>
    </row>
    <row r="162" spans="1:69" ht="24" customHeight="1">
      <c r="A162" s="352"/>
      <c r="AI162" s="352"/>
      <c r="BQ162" s="352"/>
    </row>
    <row r="163" spans="1:69" ht="24" customHeight="1">
      <c r="A163" s="352"/>
      <c r="AI163" s="352"/>
      <c r="BQ163" s="352"/>
    </row>
    <row r="164" spans="1:69" ht="24" customHeight="1">
      <c r="A164" s="352"/>
      <c r="AI164" s="352"/>
      <c r="BQ164" s="352"/>
    </row>
    <row r="165" spans="1:69" ht="24" customHeight="1">
      <c r="A165" s="352"/>
      <c r="AI165" s="352"/>
      <c r="BQ165" s="352"/>
    </row>
    <row r="166" spans="1:69" ht="24" customHeight="1">
      <c r="A166" s="352"/>
      <c r="AI166" s="352"/>
      <c r="BQ166" s="352"/>
    </row>
    <row r="167" spans="1:69" ht="24" customHeight="1">
      <c r="A167" s="352"/>
      <c r="AI167" s="352"/>
      <c r="BQ167" s="352"/>
    </row>
    <row r="168" spans="1:69" ht="24" customHeight="1">
      <c r="A168" s="352"/>
      <c r="AI168" s="352"/>
      <c r="BQ168" s="352"/>
    </row>
    <row r="169" spans="1:69" ht="24" customHeight="1">
      <c r="A169" s="352"/>
      <c r="AI169" s="352"/>
      <c r="BQ169" s="352"/>
    </row>
    <row r="170" spans="1:69" ht="24" customHeight="1">
      <c r="A170" s="352"/>
      <c r="AI170" s="352"/>
      <c r="BQ170" s="352"/>
    </row>
    <row r="171" spans="1:69" ht="24" customHeight="1">
      <c r="A171" s="352"/>
      <c r="AI171" s="352"/>
      <c r="BQ171" s="352"/>
    </row>
    <row r="172" spans="1:69" ht="24" customHeight="1">
      <c r="A172" s="352"/>
      <c r="AI172" s="352"/>
      <c r="BQ172" s="352"/>
    </row>
    <row r="173" spans="1:69" ht="24" customHeight="1">
      <c r="A173" s="352"/>
      <c r="AI173" s="352"/>
      <c r="BQ173" s="352"/>
    </row>
    <row r="174" spans="1:69" ht="24" customHeight="1">
      <c r="A174" s="352"/>
      <c r="AI174" s="352"/>
      <c r="BQ174" s="352"/>
    </row>
    <row r="175" spans="1:69" ht="24" customHeight="1">
      <c r="A175" s="352"/>
      <c r="AI175" s="352"/>
      <c r="BQ175" s="352"/>
    </row>
    <row r="176" spans="1:69" ht="24" customHeight="1">
      <c r="A176" s="352"/>
      <c r="AI176" s="352"/>
      <c r="BQ176" s="352"/>
    </row>
    <row r="177" spans="1:69" ht="24" customHeight="1">
      <c r="A177" s="352"/>
      <c r="AI177" s="352"/>
      <c r="BQ177" s="352"/>
    </row>
    <row r="178" spans="1:69" ht="24" customHeight="1">
      <c r="A178" s="352"/>
      <c r="AI178" s="352"/>
      <c r="BQ178" s="352"/>
    </row>
    <row r="179" spans="1:69" ht="24" customHeight="1">
      <c r="A179" s="352"/>
      <c r="AI179" s="352"/>
      <c r="BQ179" s="352"/>
    </row>
    <row r="180" spans="1:69" ht="24" customHeight="1">
      <c r="A180" s="352"/>
      <c r="AI180" s="352"/>
      <c r="BQ180" s="352"/>
    </row>
    <row r="181" spans="1:69" ht="24" customHeight="1">
      <c r="A181" s="352"/>
      <c r="AI181" s="352"/>
      <c r="BQ181" s="352"/>
    </row>
    <row r="182" spans="1:69" ht="24" customHeight="1">
      <c r="A182" s="352"/>
      <c r="AI182" s="352"/>
      <c r="BQ182" s="352"/>
    </row>
    <row r="183" spans="1:69" ht="24" customHeight="1">
      <c r="A183" s="352"/>
      <c r="AI183" s="352"/>
      <c r="BQ183" s="352"/>
    </row>
    <row r="184" spans="1:69" ht="24" customHeight="1">
      <c r="A184" s="352"/>
      <c r="AI184" s="352"/>
      <c r="BQ184" s="352"/>
    </row>
    <row r="185" spans="1:69" ht="24" customHeight="1">
      <c r="A185" s="352"/>
      <c r="AI185" s="352"/>
      <c r="BQ185" s="352"/>
    </row>
    <row r="186" spans="1:69" ht="24" customHeight="1">
      <c r="A186" s="352"/>
      <c r="AI186" s="352"/>
      <c r="BQ186" s="352"/>
    </row>
    <row r="187" spans="1:69" ht="24" customHeight="1">
      <c r="A187" s="352"/>
      <c r="AI187" s="352"/>
      <c r="BQ187" s="352"/>
    </row>
    <row r="188" spans="1:69" ht="24" customHeight="1">
      <c r="A188" s="352"/>
      <c r="AI188" s="352"/>
      <c r="BQ188" s="352"/>
    </row>
    <row r="189" spans="1:69" ht="24" customHeight="1">
      <c r="A189" s="352"/>
      <c r="AI189" s="352"/>
      <c r="BQ189" s="352"/>
    </row>
    <row r="190" spans="1:69" ht="24" customHeight="1">
      <c r="A190" s="352"/>
      <c r="AI190" s="352"/>
      <c r="BQ190" s="352"/>
    </row>
    <row r="191" spans="1:69" ht="24" customHeight="1">
      <c r="A191" s="352"/>
      <c r="AI191" s="352"/>
      <c r="BQ191" s="352"/>
    </row>
    <row r="192" spans="1:69" ht="24" customHeight="1">
      <c r="A192" s="352"/>
      <c r="AI192" s="352"/>
      <c r="BQ192" s="352"/>
    </row>
    <row r="193" spans="1:69" ht="24" customHeight="1">
      <c r="A193" s="352"/>
      <c r="AI193" s="352"/>
      <c r="BQ193" s="352"/>
    </row>
    <row r="194" spans="1:69" ht="24" customHeight="1">
      <c r="A194" s="352"/>
      <c r="AI194" s="352"/>
      <c r="BQ194" s="352"/>
    </row>
    <row r="195" spans="1:69" ht="24" customHeight="1">
      <c r="A195" s="352"/>
      <c r="AI195" s="352"/>
      <c r="BQ195" s="352"/>
    </row>
    <row r="196" spans="1:69" ht="24" customHeight="1">
      <c r="A196" s="352"/>
      <c r="AI196" s="352"/>
      <c r="BQ196" s="352"/>
    </row>
    <row r="197" spans="1:69" ht="24" customHeight="1">
      <c r="A197" s="352"/>
      <c r="AI197" s="352"/>
      <c r="BQ197" s="352"/>
    </row>
    <row r="198" spans="1:69" ht="24" customHeight="1">
      <c r="A198" s="352"/>
      <c r="AI198" s="352"/>
      <c r="BQ198" s="352"/>
    </row>
    <row r="199" spans="1:69" ht="24" customHeight="1">
      <c r="A199" s="352"/>
      <c r="AI199" s="352"/>
      <c r="BQ199" s="352"/>
    </row>
    <row r="200" spans="1:69" ht="24" customHeight="1">
      <c r="A200" s="352"/>
      <c r="AI200" s="352"/>
      <c r="BQ200" s="352"/>
    </row>
    <row r="201" spans="1:69" ht="24" customHeight="1">
      <c r="A201" s="352"/>
      <c r="AI201" s="352"/>
      <c r="BQ201" s="352"/>
    </row>
    <row r="202" spans="1:69" ht="24" customHeight="1">
      <c r="A202" s="352"/>
      <c r="AI202" s="352"/>
      <c r="BQ202" s="352"/>
    </row>
    <row r="203" spans="1:69" ht="24" customHeight="1">
      <c r="A203" s="352"/>
      <c r="AI203" s="352"/>
      <c r="BQ203" s="352"/>
    </row>
    <row r="204" spans="1:69" ht="24" customHeight="1">
      <c r="A204" s="352"/>
      <c r="AI204" s="352"/>
      <c r="BQ204" s="352"/>
    </row>
    <row r="205" spans="1:69" ht="24" customHeight="1">
      <c r="A205" s="352"/>
      <c r="AI205" s="352"/>
      <c r="BQ205" s="352"/>
    </row>
    <row r="206" spans="1:69" ht="24" customHeight="1">
      <c r="A206" s="352"/>
      <c r="AI206" s="352"/>
      <c r="BQ206" s="352"/>
    </row>
    <row r="207" spans="1:69" ht="24" customHeight="1">
      <c r="A207" s="352"/>
      <c r="AI207" s="352"/>
      <c r="BQ207" s="352"/>
    </row>
    <row r="208" spans="1:69" ht="24" customHeight="1">
      <c r="A208" s="352"/>
      <c r="AI208" s="352"/>
      <c r="BQ208" s="352"/>
    </row>
    <row r="209" spans="1:69" ht="24" customHeight="1">
      <c r="A209" s="352"/>
      <c r="AI209" s="352"/>
      <c r="BQ209" s="352"/>
    </row>
    <row r="210" spans="1:69" ht="24" customHeight="1">
      <c r="A210" s="352"/>
      <c r="AI210" s="352"/>
      <c r="BQ210" s="352"/>
    </row>
    <row r="211" spans="1:69" ht="24" customHeight="1">
      <c r="A211" s="352"/>
      <c r="AI211" s="352"/>
      <c r="BQ211" s="352"/>
    </row>
    <row r="212" spans="1:69" ht="24" customHeight="1">
      <c r="A212" s="352"/>
      <c r="AI212" s="352"/>
      <c r="BQ212" s="352"/>
    </row>
    <row r="213" spans="1:69" ht="24" customHeight="1">
      <c r="A213" s="352"/>
      <c r="AI213" s="352"/>
      <c r="BQ213" s="352"/>
    </row>
    <row r="214" spans="1:69" ht="24" customHeight="1">
      <c r="A214" s="352"/>
      <c r="AI214" s="352"/>
      <c r="BQ214" s="352"/>
    </row>
    <row r="215" spans="1:69" ht="24" customHeight="1">
      <c r="A215" s="352"/>
      <c r="AI215" s="352"/>
      <c r="BQ215" s="352"/>
    </row>
    <row r="216" spans="1:69" ht="24" customHeight="1">
      <c r="A216" s="352"/>
      <c r="AI216" s="352"/>
      <c r="BQ216" s="352"/>
    </row>
    <row r="217" spans="1:69" ht="24" customHeight="1">
      <c r="A217" s="352"/>
      <c r="AI217" s="352"/>
      <c r="BQ217" s="352"/>
    </row>
    <row r="218" spans="1:69" ht="24" customHeight="1">
      <c r="A218" s="352"/>
      <c r="AI218" s="352"/>
      <c r="BQ218" s="352"/>
    </row>
    <row r="219" spans="1:69" ht="24" customHeight="1">
      <c r="A219" s="352"/>
      <c r="AI219" s="352"/>
      <c r="BQ219" s="352"/>
    </row>
    <row r="220" spans="1:69" ht="24" customHeight="1">
      <c r="A220" s="352"/>
      <c r="AI220" s="352"/>
      <c r="BQ220" s="352"/>
    </row>
    <row r="221" spans="1:69" ht="24" customHeight="1">
      <c r="A221" s="352"/>
      <c r="AI221" s="352"/>
      <c r="BQ221" s="352"/>
    </row>
    <row r="222" spans="1:69" ht="24" customHeight="1">
      <c r="A222" s="352"/>
      <c r="AI222" s="352"/>
      <c r="BQ222" s="352"/>
    </row>
    <row r="223" spans="1:69" ht="24" customHeight="1">
      <c r="A223" s="352"/>
      <c r="AI223" s="352"/>
      <c r="BQ223" s="352"/>
    </row>
    <row r="224" spans="1:69" ht="24" customHeight="1">
      <c r="A224" s="352"/>
      <c r="AI224" s="352"/>
      <c r="BQ224" s="352"/>
    </row>
    <row r="225" spans="1:69" ht="24" customHeight="1">
      <c r="A225" s="352"/>
      <c r="AI225" s="352"/>
      <c r="BQ225" s="352"/>
    </row>
    <row r="226" spans="1:69" ht="24" customHeight="1">
      <c r="A226" s="352"/>
      <c r="AI226" s="352"/>
      <c r="BQ226" s="352"/>
    </row>
    <row r="227" spans="1:69" ht="24" customHeight="1">
      <c r="A227" s="352"/>
      <c r="AI227" s="352"/>
      <c r="BQ227" s="352"/>
    </row>
    <row r="228" spans="1:69" ht="24" customHeight="1">
      <c r="A228" s="352"/>
      <c r="AI228" s="352"/>
      <c r="BQ228" s="352"/>
    </row>
    <row r="229" spans="1:69" ht="24" customHeight="1">
      <c r="A229" s="352"/>
      <c r="AI229" s="352"/>
      <c r="BQ229" s="352"/>
    </row>
    <row r="230" spans="1:69" ht="24" customHeight="1">
      <c r="A230" s="352"/>
      <c r="AI230" s="352"/>
      <c r="BQ230" s="352"/>
    </row>
    <row r="231" spans="1:69" ht="24" customHeight="1">
      <c r="A231" s="352"/>
      <c r="AI231" s="352"/>
      <c r="BQ231" s="352"/>
    </row>
    <row r="232" spans="1:69" ht="24" customHeight="1">
      <c r="A232" s="352"/>
      <c r="AI232" s="352"/>
      <c r="BQ232" s="352"/>
    </row>
    <row r="233" spans="1:69" ht="24" customHeight="1">
      <c r="A233" s="352"/>
      <c r="AI233" s="352"/>
      <c r="BQ233" s="352"/>
    </row>
    <row r="234" spans="1:69" ht="24" customHeight="1">
      <c r="A234" s="352"/>
      <c r="AI234" s="352"/>
      <c r="BQ234" s="352"/>
    </row>
    <row r="235" spans="1:69" ht="24" customHeight="1">
      <c r="A235" s="352"/>
      <c r="AI235" s="352"/>
      <c r="BQ235" s="352"/>
    </row>
    <row r="236" spans="1:69" ht="24" customHeight="1">
      <c r="A236" s="352"/>
      <c r="AI236" s="352"/>
      <c r="BQ236" s="352"/>
    </row>
    <row r="237" spans="1:69" ht="24" customHeight="1">
      <c r="A237" s="352"/>
      <c r="AI237" s="352"/>
      <c r="BQ237" s="352"/>
    </row>
    <row r="238" spans="1:69" ht="24" customHeight="1">
      <c r="A238" s="352"/>
      <c r="AI238" s="352"/>
      <c r="BQ238" s="352"/>
    </row>
    <row r="239" spans="1:69" ht="24" customHeight="1">
      <c r="A239" s="352"/>
      <c r="AI239" s="352"/>
      <c r="BQ239" s="352"/>
    </row>
    <row r="240" spans="1:69" ht="24" customHeight="1">
      <c r="A240" s="352"/>
      <c r="AI240" s="352"/>
      <c r="BQ240" s="352"/>
    </row>
    <row r="241" spans="1:69" ht="24" customHeight="1">
      <c r="A241" s="352"/>
      <c r="AI241" s="352"/>
      <c r="BQ241" s="352"/>
    </row>
    <row r="242" spans="1:69" ht="24" customHeight="1">
      <c r="A242" s="352"/>
      <c r="AI242" s="352"/>
      <c r="BQ242" s="352"/>
    </row>
    <row r="243" spans="1:69" ht="24" customHeight="1">
      <c r="A243" s="352"/>
      <c r="AI243" s="352"/>
      <c r="BQ243" s="352"/>
    </row>
    <row r="244" spans="1:69" ht="24" customHeight="1">
      <c r="A244" s="352"/>
      <c r="AI244" s="352"/>
      <c r="BQ244" s="352"/>
    </row>
    <row r="245" spans="1:69" ht="24" customHeight="1">
      <c r="A245" s="352"/>
      <c r="AI245" s="352"/>
      <c r="BQ245" s="352"/>
    </row>
    <row r="246" spans="1:69" ht="24" customHeight="1">
      <c r="A246" s="352"/>
      <c r="AI246" s="352"/>
      <c r="BQ246" s="352"/>
    </row>
    <row r="247" spans="1:69" ht="24" customHeight="1">
      <c r="A247" s="352"/>
      <c r="AI247" s="352"/>
      <c r="BQ247" s="352"/>
    </row>
    <row r="248" spans="1:69" ht="24" customHeight="1">
      <c r="A248" s="352"/>
      <c r="AI248" s="352"/>
      <c r="BQ248" s="352"/>
    </row>
    <row r="249" spans="1:69" ht="24" customHeight="1">
      <c r="A249" s="352"/>
      <c r="AI249" s="352"/>
      <c r="BQ249" s="352"/>
    </row>
    <row r="250" spans="1:69" ht="24" customHeight="1">
      <c r="A250" s="352"/>
      <c r="AI250" s="352"/>
      <c r="BQ250" s="352"/>
    </row>
    <row r="251" spans="1:69" ht="24" customHeight="1">
      <c r="A251" s="352"/>
      <c r="AI251" s="352"/>
      <c r="BQ251" s="352"/>
    </row>
    <row r="252" spans="1:69" ht="24" customHeight="1">
      <c r="A252" s="352"/>
      <c r="AI252" s="352"/>
      <c r="BQ252" s="352"/>
    </row>
    <row r="253" spans="1:69" ht="24" customHeight="1">
      <c r="A253" s="352"/>
      <c r="AI253" s="352"/>
      <c r="BQ253" s="352"/>
    </row>
    <row r="254" spans="1:69" ht="24" customHeight="1">
      <c r="A254" s="352"/>
      <c r="AI254" s="352"/>
      <c r="BQ254" s="352"/>
    </row>
    <row r="255" spans="1:69" ht="24" customHeight="1">
      <c r="A255" s="352"/>
      <c r="AI255" s="352"/>
      <c r="BQ255" s="352"/>
    </row>
    <row r="256" spans="1:69" ht="24" customHeight="1">
      <c r="A256" s="352"/>
      <c r="AI256" s="352"/>
      <c r="BQ256" s="352"/>
    </row>
    <row r="257" spans="1:69" ht="24" customHeight="1">
      <c r="A257" s="352"/>
      <c r="AI257" s="352"/>
      <c r="BQ257" s="352"/>
    </row>
    <row r="258" spans="1:69" ht="24" customHeight="1">
      <c r="A258" s="352"/>
      <c r="AI258" s="352"/>
      <c r="BQ258" s="352"/>
    </row>
    <row r="259" spans="1:69" ht="24" customHeight="1">
      <c r="A259" s="352"/>
      <c r="AI259" s="352"/>
      <c r="BQ259" s="352"/>
    </row>
    <row r="260" spans="1:69" ht="24" customHeight="1">
      <c r="A260" s="352"/>
      <c r="AI260" s="352"/>
      <c r="BQ260" s="352"/>
    </row>
    <row r="261" spans="1:69" ht="24" customHeight="1">
      <c r="A261" s="352"/>
      <c r="AI261" s="352"/>
      <c r="BQ261" s="352"/>
    </row>
    <row r="262" spans="1:69" ht="24" customHeight="1">
      <c r="A262" s="352"/>
      <c r="AI262" s="352"/>
      <c r="BQ262" s="352"/>
    </row>
    <row r="263" spans="1:69" ht="24" customHeight="1">
      <c r="A263" s="352"/>
      <c r="AI263" s="352"/>
      <c r="BQ263" s="352"/>
    </row>
    <row r="264" spans="1:69" ht="24" customHeight="1">
      <c r="A264" s="352"/>
      <c r="AI264" s="352"/>
      <c r="BQ264" s="352"/>
    </row>
    <row r="265" spans="1:69" ht="24" customHeight="1">
      <c r="A265" s="352"/>
      <c r="AI265" s="352"/>
      <c r="BQ265" s="352"/>
    </row>
    <row r="266" spans="1:69" ht="24" customHeight="1">
      <c r="A266" s="352"/>
      <c r="AI266" s="352"/>
      <c r="BQ266" s="352"/>
    </row>
    <row r="267" spans="1:69" ht="24" customHeight="1">
      <c r="A267" s="352"/>
      <c r="AI267" s="352"/>
      <c r="BQ267" s="352"/>
    </row>
    <row r="268" spans="1:69" ht="24" customHeight="1">
      <c r="A268" s="352"/>
      <c r="AI268" s="352"/>
      <c r="BQ268" s="352"/>
    </row>
    <row r="269" spans="1:69" ht="24" customHeight="1">
      <c r="A269" s="352"/>
      <c r="AI269" s="352"/>
      <c r="BQ269" s="352"/>
    </row>
    <row r="270" spans="1:69" ht="24" customHeight="1">
      <c r="A270" s="352"/>
      <c r="AI270" s="352"/>
      <c r="BQ270" s="352"/>
    </row>
    <row r="271" spans="1:69" ht="24" customHeight="1">
      <c r="A271" s="352"/>
      <c r="AI271" s="352"/>
      <c r="BQ271" s="352"/>
    </row>
    <row r="272" spans="1:69" ht="24" customHeight="1">
      <c r="A272" s="352"/>
      <c r="AI272" s="352"/>
      <c r="BQ272" s="352"/>
    </row>
    <row r="273" spans="1:69" ht="24" customHeight="1">
      <c r="A273" s="352"/>
      <c r="AI273" s="352"/>
      <c r="BQ273" s="352"/>
    </row>
    <row r="274" spans="1:69" ht="24" customHeight="1">
      <c r="A274" s="352"/>
      <c r="AI274" s="352"/>
      <c r="BQ274" s="352"/>
    </row>
    <row r="275" spans="1:69" ht="24" customHeight="1">
      <c r="A275" s="352"/>
      <c r="AI275" s="352"/>
      <c r="BQ275" s="352"/>
    </row>
    <row r="276" spans="1:69" ht="24" customHeight="1">
      <c r="A276" s="352"/>
      <c r="AI276" s="352"/>
      <c r="BQ276" s="352"/>
    </row>
    <row r="277" spans="1:69" ht="24" customHeight="1">
      <c r="A277" s="352"/>
      <c r="AI277" s="352"/>
      <c r="BQ277" s="352"/>
    </row>
    <row r="278" spans="1:69" ht="24" customHeight="1">
      <c r="A278" s="352"/>
      <c r="AI278" s="352"/>
      <c r="BQ278" s="352"/>
    </row>
    <row r="279" spans="1:69" ht="24" customHeight="1">
      <c r="A279" s="352"/>
      <c r="AI279" s="352"/>
      <c r="BQ279" s="352"/>
    </row>
    <row r="280" spans="1:69" ht="24" customHeight="1">
      <c r="A280" s="352"/>
      <c r="AI280" s="352"/>
      <c r="BQ280" s="352"/>
    </row>
    <row r="281" spans="1:69" ht="24" customHeight="1">
      <c r="A281" s="352"/>
      <c r="AI281" s="352"/>
      <c r="BQ281" s="352"/>
    </row>
    <row r="282" spans="1:69" ht="24" customHeight="1">
      <c r="A282" s="352"/>
      <c r="AI282" s="352"/>
      <c r="BQ282" s="352"/>
    </row>
    <row r="283" spans="1:69" ht="24" customHeight="1">
      <c r="A283" s="352"/>
      <c r="AI283" s="352"/>
      <c r="BQ283" s="352"/>
    </row>
    <row r="284" spans="1:69" ht="24" customHeight="1">
      <c r="A284" s="352"/>
      <c r="AI284" s="352"/>
      <c r="BQ284" s="352"/>
    </row>
    <row r="285" spans="1:69" ht="24" customHeight="1">
      <c r="A285" s="352"/>
      <c r="AI285" s="352"/>
      <c r="BQ285" s="352"/>
    </row>
    <row r="286" spans="1:69" ht="24" customHeight="1">
      <c r="A286" s="352"/>
      <c r="AI286" s="352"/>
      <c r="BQ286" s="352"/>
    </row>
    <row r="287" spans="1:69" ht="24" customHeight="1">
      <c r="A287" s="352"/>
      <c r="AI287" s="352"/>
      <c r="BQ287" s="352"/>
    </row>
    <row r="288" spans="1:69" ht="24" customHeight="1">
      <c r="A288" s="352"/>
      <c r="AI288" s="352"/>
      <c r="BQ288" s="352"/>
    </row>
    <row r="289" spans="1:69" ht="24" customHeight="1">
      <c r="A289" s="352"/>
      <c r="AI289" s="352"/>
      <c r="BQ289" s="352"/>
    </row>
    <row r="290" spans="1:69" ht="24" customHeight="1">
      <c r="A290" s="352"/>
      <c r="AI290" s="352"/>
      <c r="BQ290" s="352"/>
    </row>
    <row r="291" spans="1:69" ht="24" customHeight="1">
      <c r="A291" s="352"/>
      <c r="AI291" s="352"/>
      <c r="BQ291" s="352"/>
    </row>
    <row r="292" spans="1:69" ht="24" customHeight="1">
      <c r="A292" s="352"/>
      <c r="AI292" s="352"/>
      <c r="BQ292" s="352"/>
    </row>
    <row r="293" spans="1:69" ht="24" customHeight="1">
      <c r="A293" s="352"/>
      <c r="AI293" s="352"/>
      <c r="BQ293" s="352"/>
    </row>
    <row r="294" spans="1:69" ht="24" customHeight="1">
      <c r="A294" s="352"/>
      <c r="AI294" s="352"/>
      <c r="BQ294" s="352"/>
    </row>
    <row r="295" spans="1:69" ht="24" customHeight="1">
      <c r="A295" s="352"/>
      <c r="AI295" s="352"/>
      <c r="BQ295" s="352"/>
    </row>
    <row r="296" spans="1:69" ht="24" customHeight="1">
      <c r="A296" s="352"/>
      <c r="AI296" s="352"/>
      <c r="BQ296" s="352"/>
    </row>
    <row r="297" spans="1:69" ht="24" customHeight="1">
      <c r="A297" s="352"/>
      <c r="AI297" s="352"/>
      <c r="BQ297" s="352"/>
    </row>
    <row r="298" spans="1:69" ht="24" customHeight="1">
      <c r="A298" s="352"/>
      <c r="AI298" s="352"/>
      <c r="BQ298" s="352"/>
    </row>
    <row r="299" spans="1:69" ht="24" customHeight="1">
      <c r="A299" s="352"/>
      <c r="AI299" s="352"/>
      <c r="BQ299" s="352"/>
    </row>
    <row r="300" spans="1:69" ht="24" customHeight="1">
      <c r="A300" s="352"/>
      <c r="AI300" s="352"/>
      <c r="BQ300" s="352"/>
    </row>
    <row r="301" spans="1:69" ht="24" customHeight="1">
      <c r="A301" s="352"/>
      <c r="AI301" s="352"/>
      <c r="BQ301" s="352"/>
    </row>
    <row r="302" spans="1:69" ht="24" customHeight="1">
      <c r="A302" s="352"/>
      <c r="AI302" s="352"/>
      <c r="BQ302" s="352"/>
    </row>
    <row r="303" spans="1:69" ht="24" customHeight="1">
      <c r="A303" s="352"/>
      <c r="AI303" s="352"/>
      <c r="BQ303" s="352"/>
    </row>
    <row r="304" spans="1:69" ht="24" customHeight="1">
      <c r="A304" s="352"/>
      <c r="AI304" s="352"/>
      <c r="BQ304" s="352"/>
    </row>
    <row r="305" spans="1:69" ht="24" customHeight="1">
      <c r="A305" s="352"/>
      <c r="AI305" s="352"/>
      <c r="BQ305" s="352"/>
    </row>
    <row r="306" spans="1:69" ht="24" customHeight="1">
      <c r="A306" s="352"/>
      <c r="AI306" s="352"/>
      <c r="BQ306" s="352"/>
    </row>
    <row r="307" spans="1:69" ht="24" customHeight="1">
      <c r="A307" s="352"/>
      <c r="AI307" s="352"/>
      <c r="BQ307" s="352"/>
    </row>
    <row r="308" spans="1:69" ht="24" customHeight="1">
      <c r="A308" s="352"/>
      <c r="AI308" s="352"/>
      <c r="BQ308" s="352"/>
    </row>
    <row r="309" spans="1:69" ht="24" customHeight="1">
      <c r="A309" s="352"/>
      <c r="AI309" s="352"/>
      <c r="BQ309" s="352"/>
    </row>
    <row r="310" spans="1:69" ht="24" customHeight="1">
      <c r="A310" s="352"/>
      <c r="AI310" s="352"/>
      <c r="BQ310" s="352"/>
    </row>
    <row r="311" spans="1:69" ht="24" customHeight="1">
      <c r="A311" s="352"/>
      <c r="AI311" s="352"/>
      <c r="BQ311" s="352"/>
    </row>
    <row r="312" spans="1:69" ht="24" customHeight="1">
      <c r="A312" s="352"/>
      <c r="AI312" s="352"/>
      <c r="BQ312" s="352"/>
    </row>
    <row r="313" spans="1:69" ht="24" customHeight="1">
      <c r="A313" s="352"/>
      <c r="AI313" s="352"/>
      <c r="BQ313" s="352"/>
    </row>
    <row r="314" spans="1:69" ht="24" customHeight="1">
      <c r="A314" s="352"/>
      <c r="AI314" s="352"/>
      <c r="BQ314" s="352"/>
    </row>
    <row r="315" spans="1:69" ht="24" customHeight="1">
      <c r="A315" s="352"/>
      <c r="AI315" s="352"/>
      <c r="BQ315" s="352"/>
    </row>
    <row r="316" spans="1:69" ht="24" customHeight="1">
      <c r="A316" s="352"/>
      <c r="AI316" s="352"/>
      <c r="BQ316" s="352"/>
    </row>
    <row r="317" spans="1:69" ht="24" customHeight="1">
      <c r="A317" s="352"/>
      <c r="AI317" s="352"/>
      <c r="BQ317" s="352"/>
    </row>
    <row r="318" spans="1:69" ht="24" customHeight="1">
      <c r="A318" s="352"/>
      <c r="AI318" s="352"/>
      <c r="BQ318" s="352"/>
    </row>
    <row r="319" spans="1:69" ht="24" customHeight="1">
      <c r="A319" s="352"/>
      <c r="AI319" s="352"/>
      <c r="BQ319" s="352"/>
    </row>
    <row r="320" spans="1:69" ht="24" customHeight="1">
      <c r="A320" s="352"/>
      <c r="AI320" s="352"/>
      <c r="BQ320" s="352"/>
    </row>
    <row r="321" spans="1:69" ht="24" customHeight="1">
      <c r="A321" s="352"/>
      <c r="AI321" s="352"/>
      <c r="BQ321" s="352"/>
    </row>
    <row r="322" spans="1:69" ht="24" customHeight="1">
      <c r="A322" s="352"/>
      <c r="AI322" s="352"/>
      <c r="BQ322" s="352"/>
    </row>
    <row r="323" spans="1:69" ht="24" customHeight="1">
      <c r="A323" s="352"/>
      <c r="AI323" s="352"/>
      <c r="BQ323" s="352"/>
    </row>
    <row r="324" spans="1:69" ht="24" customHeight="1">
      <c r="A324" s="352"/>
      <c r="AI324" s="352"/>
      <c r="BQ324" s="352"/>
    </row>
    <row r="325" spans="1:69" ht="24" customHeight="1">
      <c r="A325" s="352"/>
      <c r="AI325" s="352"/>
      <c r="BQ325" s="352"/>
    </row>
    <row r="326" spans="1:69" ht="24" customHeight="1">
      <c r="A326" s="352"/>
      <c r="AI326" s="352"/>
      <c r="BQ326" s="352"/>
    </row>
    <row r="327" spans="1:69" ht="24" customHeight="1">
      <c r="A327" s="352"/>
      <c r="AI327" s="352"/>
      <c r="BQ327" s="352"/>
    </row>
    <row r="328" spans="1:69" ht="24" customHeight="1">
      <c r="A328" s="352"/>
      <c r="AI328" s="352"/>
      <c r="BQ328" s="352"/>
    </row>
    <row r="329" spans="1:69" ht="24" customHeight="1">
      <c r="A329" s="352"/>
      <c r="AI329" s="352"/>
      <c r="BQ329" s="352"/>
    </row>
    <row r="330" spans="1:69" ht="24" customHeight="1">
      <c r="A330" s="352"/>
      <c r="AI330" s="352"/>
      <c r="BQ330" s="352"/>
    </row>
    <row r="331" spans="1:69" ht="24" customHeight="1">
      <c r="A331" s="352"/>
      <c r="AI331" s="352"/>
      <c r="BQ331" s="352"/>
    </row>
    <row r="332" spans="1:69" ht="24" customHeight="1">
      <c r="A332" s="352"/>
      <c r="AI332" s="352"/>
      <c r="BQ332" s="352"/>
    </row>
    <row r="333" spans="1:69" ht="24" customHeight="1">
      <c r="A333" s="352"/>
      <c r="AI333" s="352"/>
      <c r="BQ333" s="352"/>
    </row>
    <row r="334" spans="1:69" ht="24" customHeight="1">
      <c r="A334" s="352"/>
      <c r="AI334" s="352"/>
      <c r="BQ334" s="352"/>
    </row>
    <row r="335" spans="1:69" ht="24" customHeight="1">
      <c r="A335" s="352"/>
      <c r="AI335" s="352"/>
      <c r="BQ335" s="352"/>
    </row>
    <row r="336" spans="1:69" ht="24" customHeight="1">
      <c r="A336" s="352"/>
      <c r="AI336" s="352"/>
      <c r="BQ336" s="352"/>
    </row>
    <row r="337" spans="1:69" ht="24" customHeight="1">
      <c r="A337" s="352"/>
      <c r="AI337" s="352"/>
      <c r="BQ337" s="352"/>
    </row>
    <row r="338" spans="1:69" ht="24" customHeight="1">
      <c r="A338" s="352"/>
      <c r="AI338" s="352"/>
      <c r="BQ338" s="352"/>
    </row>
    <row r="339" spans="1:69" ht="24" customHeight="1">
      <c r="A339" s="352"/>
      <c r="AI339" s="352"/>
      <c r="BQ339" s="352"/>
    </row>
    <row r="340" spans="1:69" ht="24" customHeight="1">
      <c r="A340" s="352"/>
      <c r="AI340" s="352"/>
      <c r="BQ340" s="352"/>
    </row>
    <row r="341" spans="1:69" ht="24" customHeight="1">
      <c r="A341" s="352"/>
      <c r="AI341" s="352"/>
      <c r="BQ341" s="352"/>
    </row>
    <row r="342" spans="1:69" ht="24" customHeight="1">
      <c r="A342" s="352"/>
      <c r="AI342" s="352"/>
      <c r="BQ342" s="352"/>
    </row>
    <row r="343" spans="1:69" ht="24" customHeight="1">
      <c r="A343" s="352"/>
      <c r="AI343" s="352"/>
      <c r="BQ343" s="352"/>
    </row>
    <row r="344" spans="1:69" ht="24" customHeight="1">
      <c r="A344" s="352"/>
      <c r="AI344" s="352"/>
      <c r="BQ344" s="352"/>
    </row>
    <row r="345" spans="1:69" ht="24" customHeight="1">
      <c r="A345" s="352"/>
      <c r="AI345" s="352"/>
      <c r="BQ345" s="352"/>
    </row>
    <row r="346" spans="1:69" ht="24" customHeight="1">
      <c r="A346" s="352"/>
      <c r="AI346" s="352"/>
      <c r="BQ346" s="352"/>
    </row>
    <row r="347" spans="1:69" ht="24" customHeight="1">
      <c r="A347" s="352"/>
      <c r="AI347" s="352"/>
      <c r="BQ347" s="352"/>
    </row>
    <row r="348" spans="1:69" ht="24" customHeight="1">
      <c r="A348" s="352"/>
      <c r="AI348" s="352"/>
      <c r="BQ348" s="352"/>
    </row>
    <row r="349" spans="1:69" ht="24" customHeight="1">
      <c r="A349" s="352"/>
      <c r="AI349" s="352"/>
      <c r="BQ349" s="352"/>
    </row>
    <row r="350" spans="1:69" ht="24" customHeight="1">
      <c r="A350" s="352"/>
      <c r="AI350" s="352"/>
      <c r="BQ350" s="352"/>
    </row>
    <row r="351" spans="1:69" ht="24" customHeight="1">
      <c r="A351" s="352"/>
      <c r="AI351" s="352"/>
      <c r="BQ351" s="352"/>
    </row>
    <row r="352" spans="1:69" ht="24" customHeight="1">
      <c r="A352" s="352"/>
      <c r="AI352" s="352"/>
      <c r="BQ352" s="352"/>
    </row>
    <row r="353" spans="1:69" ht="24" customHeight="1">
      <c r="A353" s="352"/>
      <c r="AI353" s="352"/>
      <c r="BQ353" s="352"/>
    </row>
    <row r="354" spans="1:69" ht="24" customHeight="1">
      <c r="A354" s="352"/>
      <c r="AI354" s="352"/>
      <c r="BQ354" s="352"/>
    </row>
    <row r="355" spans="1:69" ht="24" customHeight="1">
      <c r="A355" s="352"/>
      <c r="AI355" s="352"/>
      <c r="BQ355" s="352"/>
    </row>
    <row r="356" spans="1:69" ht="24" customHeight="1">
      <c r="A356" s="352"/>
      <c r="AI356" s="352"/>
      <c r="BQ356" s="352"/>
    </row>
    <row r="357" spans="1:69" ht="24" customHeight="1">
      <c r="A357" s="352"/>
      <c r="AI357" s="352"/>
      <c r="BQ357" s="352"/>
    </row>
    <row r="358" spans="1:69" ht="24" customHeight="1">
      <c r="A358" s="352"/>
      <c r="AI358" s="352"/>
      <c r="BQ358" s="352"/>
    </row>
    <row r="359" spans="1:69" ht="24" customHeight="1">
      <c r="A359" s="352"/>
      <c r="AI359" s="352"/>
      <c r="BQ359" s="352"/>
    </row>
    <row r="360" spans="1:69" ht="24" customHeight="1">
      <c r="A360" s="352"/>
      <c r="AI360" s="352"/>
      <c r="BQ360" s="352"/>
    </row>
    <row r="361" spans="1:69" ht="24" customHeight="1">
      <c r="A361" s="352"/>
      <c r="AI361" s="352"/>
      <c r="BQ361" s="352"/>
    </row>
    <row r="362" spans="1:69" ht="24" customHeight="1">
      <c r="A362" s="352"/>
      <c r="AI362" s="352"/>
      <c r="BQ362" s="352"/>
    </row>
    <row r="363" spans="1:69" ht="24" customHeight="1">
      <c r="A363" s="352"/>
      <c r="AI363" s="352"/>
      <c r="BQ363" s="352"/>
    </row>
    <row r="364" spans="1:69" ht="24" customHeight="1">
      <c r="A364" s="352"/>
      <c r="AI364" s="352"/>
      <c r="BQ364" s="352"/>
    </row>
    <row r="365" spans="1:69" ht="24" customHeight="1">
      <c r="A365" s="352"/>
      <c r="AI365" s="352"/>
      <c r="BQ365" s="352"/>
    </row>
    <row r="366" spans="1:69" ht="24" customHeight="1">
      <c r="A366" s="352"/>
      <c r="AI366" s="352"/>
      <c r="BQ366" s="352"/>
    </row>
    <row r="367" spans="1:69">
      <c r="A367" s="352"/>
      <c r="AI367" s="352"/>
      <c r="BQ367" s="352"/>
    </row>
    <row r="368" spans="1:69">
      <c r="A368" s="352"/>
      <c r="AI368" s="352"/>
      <c r="BQ368" s="352"/>
    </row>
    <row r="369" spans="1:69">
      <c r="A369" s="352"/>
      <c r="AI369" s="352"/>
      <c r="BQ369" s="352"/>
    </row>
    <row r="370" spans="1:69">
      <c r="A370" s="352"/>
      <c r="AI370" s="352"/>
      <c r="BQ370" s="352"/>
    </row>
    <row r="371" spans="1:69">
      <c r="A371" s="352"/>
      <c r="AI371" s="352"/>
      <c r="BQ371" s="352"/>
    </row>
    <row r="372" spans="1:69">
      <c r="A372" s="352"/>
      <c r="AI372" s="352"/>
      <c r="BQ372" s="352"/>
    </row>
    <row r="373" spans="1:69">
      <c r="A373" s="352"/>
      <c r="AI373" s="352"/>
      <c r="BQ373" s="352"/>
    </row>
    <row r="374" spans="1:69">
      <c r="A374" s="352"/>
      <c r="AI374" s="352"/>
      <c r="BQ374" s="352"/>
    </row>
    <row r="375" spans="1:69">
      <c r="A375" s="352"/>
      <c r="AI375" s="352"/>
      <c r="BQ375" s="352"/>
    </row>
    <row r="376" spans="1:69">
      <c r="A376" s="352"/>
      <c r="AI376" s="352"/>
      <c r="BQ376" s="352"/>
    </row>
    <row r="377" spans="1:69">
      <c r="A377" s="352"/>
      <c r="AI377" s="352"/>
      <c r="BQ377" s="352"/>
    </row>
    <row r="378" spans="1:69">
      <c r="A378" s="352"/>
      <c r="AI378" s="352"/>
      <c r="BQ378" s="352"/>
    </row>
    <row r="379" spans="1:69">
      <c r="A379" s="352"/>
      <c r="AI379" s="352"/>
      <c r="BQ379" s="352"/>
    </row>
    <row r="380" spans="1:69">
      <c r="A380" s="352"/>
      <c r="AI380" s="352"/>
      <c r="BQ380" s="352"/>
    </row>
    <row r="381" spans="1:69">
      <c r="A381" s="352"/>
      <c r="AI381" s="352"/>
      <c r="BQ381" s="352"/>
    </row>
  </sheetData>
  <mergeCells count="168">
    <mergeCell ref="DV43:DV44"/>
    <mergeCell ref="CT40:CU40"/>
    <mergeCell ref="CT41:CU41"/>
    <mergeCell ref="CV2:CW2"/>
    <mergeCell ref="CV3:CW3"/>
    <mergeCell ref="CV4:CW4"/>
    <mergeCell ref="CV39:CW39"/>
    <mergeCell ref="CV40:CW40"/>
    <mergeCell ref="CV41:CW41"/>
    <mergeCell ref="CX2:CY2"/>
    <mergeCell ref="CX3:CY3"/>
    <mergeCell ref="CX4:CY4"/>
    <mergeCell ref="CX39:CY39"/>
    <mergeCell ref="CX40:CY40"/>
    <mergeCell ref="CX41:CY41"/>
    <mergeCell ref="CR2:CS2"/>
    <mergeCell ref="CR3:CS3"/>
    <mergeCell ref="CR4:CS4"/>
    <mergeCell ref="CR39:CS39"/>
    <mergeCell ref="CR40:CS40"/>
    <mergeCell ref="CR41:CS41"/>
    <mergeCell ref="DV6:DV7"/>
    <mergeCell ref="DV8:DV9"/>
    <mergeCell ref="DG6:DG7"/>
    <mergeCell ref="DG9:DG10"/>
    <mergeCell ref="DG11:DG12"/>
    <mergeCell ref="CT2:CU2"/>
    <mergeCell ref="CT3:CU3"/>
    <mergeCell ref="CT4:CU4"/>
    <mergeCell ref="CT39:CU39"/>
    <mergeCell ref="DV50:DV51"/>
    <mergeCell ref="DV53:DV54"/>
    <mergeCell ref="DV55:DV56"/>
    <mergeCell ref="DV58:DV59"/>
    <mergeCell ref="DV60:DV61"/>
    <mergeCell ref="DG60:DG61"/>
    <mergeCell ref="DG45:DG46"/>
    <mergeCell ref="DG48:DG49"/>
    <mergeCell ref="DG68:DG69"/>
    <mergeCell ref="DG50:DG51"/>
    <mergeCell ref="DV45:DV46"/>
    <mergeCell ref="DV48:DV49"/>
    <mergeCell ref="DG70:DG71"/>
    <mergeCell ref="DG53:DG54"/>
    <mergeCell ref="DG55:DG56"/>
    <mergeCell ref="DG14:DG15"/>
    <mergeCell ref="DG16:DG17"/>
    <mergeCell ref="DG19:DG20"/>
    <mergeCell ref="DG21:DG22"/>
    <mergeCell ref="DG24:DG25"/>
    <mergeCell ref="DG26:DG27"/>
    <mergeCell ref="DG43:DG44"/>
    <mergeCell ref="DG63:DG64"/>
    <mergeCell ref="DG58:DG59"/>
    <mergeCell ref="CP2:CQ2"/>
    <mergeCell ref="CP3:CQ3"/>
    <mergeCell ref="CP4:CQ4"/>
    <mergeCell ref="CJ2:CK2"/>
    <mergeCell ref="CH2:CI2"/>
    <mergeCell ref="CN2:CO2"/>
    <mergeCell ref="CN3:CO3"/>
    <mergeCell ref="CN4:CO4"/>
    <mergeCell ref="CN39:CO39"/>
    <mergeCell ref="CL4:CM4"/>
    <mergeCell ref="CJ3:CK3"/>
    <mergeCell ref="CJ4:CK4"/>
    <mergeCell ref="CH3:CI3"/>
    <mergeCell ref="CH4:CI4"/>
    <mergeCell ref="CP41:CQ41"/>
    <mergeCell ref="CH40:CI40"/>
    <mergeCell ref="CJ40:CK40"/>
    <mergeCell ref="CP40:CQ40"/>
    <mergeCell ref="CJ39:CK39"/>
    <mergeCell ref="CP39:CQ39"/>
    <mergeCell ref="CH39:CI39"/>
    <mergeCell ref="BV2:BW2"/>
    <mergeCell ref="BX2:BY2"/>
    <mergeCell ref="BZ2:CA2"/>
    <mergeCell ref="CB2:CC2"/>
    <mergeCell ref="BV3:BW3"/>
    <mergeCell ref="CF3:CG3"/>
    <mergeCell ref="CF4:CG4"/>
    <mergeCell ref="CD4:CE4"/>
    <mergeCell ref="CF2:CG2"/>
    <mergeCell ref="BX3:BY3"/>
    <mergeCell ref="BZ3:CA3"/>
    <mergeCell ref="CB3:CC3"/>
    <mergeCell ref="BZ4:CA4"/>
    <mergeCell ref="CB4:CC4"/>
    <mergeCell ref="BV4:BW4"/>
    <mergeCell ref="BX4:BY4"/>
    <mergeCell ref="CD2:CE2"/>
    <mergeCell ref="CD3:CE3"/>
    <mergeCell ref="BR2:BS2"/>
    <mergeCell ref="BT2:BU2"/>
    <mergeCell ref="BM3:BN3"/>
    <mergeCell ref="BE4:BF4"/>
    <mergeCell ref="BG4:BH4"/>
    <mergeCell ref="BR4:BS4"/>
    <mergeCell ref="BT4:BU4"/>
    <mergeCell ref="BM4:BN4"/>
    <mergeCell ref="BE2:BF2"/>
    <mergeCell ref="BE3:BF3"/>
    <mergeCell ref="BG2:BH2"/>
    <mergeCell ref="BG3:BH3"/>
    <mergeCell ref="BI2:BJ2"/>
    <mergeCell ref="BO4:BP4"/>
    <mergeCell ref="BI4:BJ4"/>
    <mergeCell ref="BK4:BL4"/>
    <mergeCell ref="BR3:BS3"/>
    <mergeCell ref="BT3:BU3"/>
    <mergeCell ref="BK2:BL2"/>
    <mergeCell ref="BI3:BJ3"/>
    <mergeCell ref="BK3:BL3"/>
    <mergeCell ref="BM2:BN2"/>
    <mergeCell ref="BO2:BP2"/>
    <mergeCell ref="BO3:BP3"/>
    <mergeCell ref="BZ39:CA39"/>
    <mergeCell ref="CB39:CC39"/>
    <mergeCell ref="CD39:CE39"/>
    <mergeCell ref="CF39:CG39"/>
    <mergeCell ref="BE40:BF40"/>
    <mergeCell ref="BG40:BH40"/>
    <mergeCell ref="BI40:BJ40"/>
    <mergeCell ref="BK40:BL40"/>
    <mergeCell ref="BM40:BN40"/>
    <mergeCell ref="BO40:BP40"/>
    <mergeCell ref="BR40:BS40"/>
    <mergeCell ref="BT40:BU40"/>
    <mergeCell ref="BV40:BW40"/>
    <mergeCell ref="BV39:BW39"/>
    <mergeCell ref="BX39:BY39"/>
    <mergeCell ref="BE39:BF39"/>
    <mergeCell ref="BG39:BH39"/>
    <mergeCell ref="BI39:BJ39"/>
    <mergeCell ref="BK39:BL39"/>
    <mergeCell ref="BM39:BN39"/>
    <mergeCell ref="BO39:BP39"/>
    <mergeCell ref="BR39:BS39"/>
    <mergeCell ref="BT39:BU39"/>
    <mergeCell ref="BX41:BY41"/>
    <mergeCell ref="BZ41:CA41"/>
    <mergeCell ref="CB41:CC41"/>
    <mergeCell ref="CD41:CE41"/>
    <mergeCell ref="BX40:BY40"/>
    <mergeCell ref="BZ40:CA40"/>
    <mergeCell ref="CB40:CC40"/>
    <mergeCell ref="CD40:CE40"/>
    <mergeCell ref="CF40:CG40"/>
    <mergeCell ref="CF41:CG41"/>
    <mergeCell ref="BE41:BF41"/>
    <mergeCell ref="BG41:BH41"/>
    <mergeCell ref="BI41:BJ41"/>
    <mergeCell ref="BK41:BL41"/>
    <mergeCell ref="BM41:BN41"/>
    <mergeCell ref="BO41:BP41"/>
    <mergeCell ref="BR41:BS41"/>
    <mergeCell ref="BT41:BU41"/>
    <mergeCell ref="BV41:BW41"/>
    <mergeCell ref="CN40:CO40"/>
    <mergeCell ref="CN41:CO41"/>
    <mergeCell ref="CL2:CM2"/>
    <mergeCell ref="CL3:CM3"/>
    <mergeCell ref="CL39:CM39"/>
    <mergeCell ref="CL40:CM40"/>
    <mergeCell ref="CL41:CM41"/>
    <mergeCell ref="CH41:CI41"/>
    <mergeCell ref="CJ41:CK41"/>
  </mergeCells>
  <phoneticPr fontId="2"/>
  <printOptions horizontalCentered="1"/>
  <pageMargins left="0.98425196850393704" right="0.98425196850393704" top="0.98425196850393704" bottom="0.98425196850393704" header="0.51181102362204722" footer="0.51181102362204722"/>
  <pageSetup paperSize="12" scale="39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P178"/>
  <sheetViews>
    <sheetView view="pageBreakPreview" zoomScale="70" zoomScaleNormal="70" zoomScaleSheetLayoutView="7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E28" sqref="BE28"/>
    </sheetView>
  </sheetViews>
  <sheetFormatPr defaultColWidth="9" defaultRowHeight="13.2"/>
  <cols>
    <col min="1" max="1" width="22.6640625" style="1" customWidth="1"/>
    <col min="2" max="30" width="12" style="1" customWidth="1"/>
    <col min="31" max="48" width="11.44140625" style="204" customWidth="1"/>
    <col min="49" max="68" width="11.44140625" style="1" customWidth="1"/>
    <col min="69" max="16384" width="9" style="1"/>
  </cols>
  <sheetData>
    <row r="1" spans="1:68" ht="24" customHeight="1">
      <c r="A1" s="76" t="s">
        <v>583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BJ1" s="59"/>
      <c r="BN1" s="59"/>
      <c r="BP1" s="59" t="s">
        <v>288</v>
      </c>
    </row>
    <row r="2" spans="1:68" ht="24" customHeight="1">
      <c r="A2" s="12"/>
      <c r="B2" s="93" t="s">
        <v>584</v>
      </c>
      <c r="C2" s="93" t="s">
        <v>585</v>
      </c>
      <c r="D2" s="93" t="s">
        <v>586</v>
      </c>
      <c r="E2" s="93" t="s">
        <v>587</v>
      </c>
      <c r="F2" s="93" t="s">
        <v>588</v>
      </c>
      <c r="G2" s="93" t="s">
        <v>589</v>
      </c>
      <c r="H2" s="93" t="s">
        <v>590</v>
      </c>
      <c r="I2" s="93" t="s">
        <v>591</v>
      </c>
      <c r="J2" s="93" t="s">
        <v>592</v>
      </c>
      <c r="K2" s="93" t="s">
        <v>593</v>
      </c>
      <c r="L2" s="93" t="s">
        <v>594</v>
      </c>
      <c r="M2" s="93" t="s">
        <v>595</v>
      </c>
      <c r="N2" s="93" t="s">
        <v>596</v>
      </c>
      <c r="O2" s="93" t="s">
        <v>597</v>
      </c>
      <c r="P2" s="93" t="s">
        <v>598</v>
      </c>
      <c r="Q2" s="93" t="s">
        <v>599</v>
      </c>
      <c r="R2" s="2"/>
      <c r="S2" s="93" t="s">
        <v>600</v>
      </c>
      <c r="T2" s="93" t="s">
        <v>601</v>
      </c>
      <c r="U2" s="93" t="s">
        <v>602</v>
      </c>
      <c r="V2" s="93" t="s">
        <v>603</v>
      </c>
      <c r="W2" s="93" t="s">
        <v>604</v>
      </c>
      <c r="X2" s="93" t="s">
        <v>605</v>
      </c>
      <c r="Y2" s="93" t="s">
        <v>606</v>
      </c>
      <c r="Z2" s="93" t="s">
        <v>607</v>
      </c>
      <c r="AA2" s="93" t="s">
        <v>608</v>
      </c>
      <c r="AB2" s="93" t="s">
        <v>609</v>
      </c>
      <c r="AC2" s="93" t="s">
        <v>610</v>
      </c>
      <c r="AD2" s="93" t="s">
        <v>611</v>
      </c>
      <c r="AE2" s="648" t="s">
        <v>612</v>
      </c>
      <c r="AF2" s="648"/>
      <c r="AG2" s="648" t="s">
        <v>613</v>
      </c>
      <c r="AH2" s="648"/>
      <c r="AI2" s="648" t="s">
        <v>614</v>
      </c>
      <c r="AJ2" s="648"/>
      <c r="AK2" s="648" t="s">
        <v>615</v>
      </c>
      <c r="AL2" s="648"/>
      <c r="AM2" s="648" t="s">
        <v>616</v>
      </c>
      <c r="AN2" s="648"/>
      <c r="AO2" s="648" t="s">
        <v>617</v>
      </c>
      <c r="AP2" s="648"/>
      <c r="AQ2" s="648" t="s">
        <v>618</v>
      </c>
      <c r="AR2" s="648"/>
      <c r="AS2" s="648" t="s">
        <v>619</v>
      </c>
      <c r="AT2" s="648"/>
      <c r="AU2" s="648" t="s">
        <v>620</v>
      </c>
      <c r="AV2" s="648"/>
      <c r="AW2" s="648" t="s">
        <v>621</v>
      </c>
      <c r="AX2" s="648"/>
      <c r="AY2" s="648" t="s">
        <v>622</v>
      </c>
      <c r="AZ2" s="648"/>
      <c r="BA2" s="648" t="s">
        <v>623</v>
      </c>
      <c r="BB2" s="648"/>
      <c r="BC2" s="648" t="s">
        <v>624</v>
      </c>
      <c r="BD2" s="648"/>
      <c r="BE2" s="648" t="s">
        <v>625</v>
      </c>
      <c r="BF2" s="648"/>
      <c r="BG2" s="648" t="s">
        <v>626</v>
      </c>
      <c r="BH2" s="648"/>
      <c r="BI2" s="648" t="s">
        <v>627</v>
      </c>
      <c r="BJ2" s="648"/>
      <c r="BK2" s="648" t="s">
        <v>628</v>
      </c>
      <c r="BL2" s="648"/>
      <c r="BM2" s="648" t="s">
        <v>629</v>
      </c>
      <c r="BN2" s="648"/>
      <c r="BO2" s="648" t="s">
        <v>630</v>
      </c>
      <c r="BP2" s="648"/>
    </row>
    <row r="3" spans="1:68" ht="24" customHeight="1" thickBot="1">
      <c r="A3" s="3"/>
      <c r="B3" s="111" t="s">
        <v>631</v>
      </c>
      <c r="C3" s="111" t="s">
        <v>632</v>
      </c>
      <c r="D3" s="111" t="s">
        <v>633</v>
      </c>
      <c r="E3" s="111" t="s">
        <v>634</v>
      </c>
      <c r="F3" s="111" t="s">
        <v>635</v>
      </c>
      <c r="G3" s="111" t="s">
        <v>636</v>
      </c>
      <c r="H3" s="111" t="s">
        <v>637</v>
      </c>
      <c r="I3" s="111" t="s">
        <v>638</v>
      </c>
      <c r="J3" s="111" t="s">
        <v>639</v>
      </c>
      <c r="K3" s="111" t="s">
        <v>640</v>
      </c>
      <c r="L3" s="111" t="s">
        <v>641</v>
      </c>
      <c r="M3" s="111" t="s">
        <v>642</v>
      </c>
      <c r="N3" s="111" t="s">
        <v>643</v>
      </c>
      <c r="O3" s="111" t="s">
        <v>644</v>
      </c>
      <c r="P3" s="111" t="s">
        <v>645</v>
      </c>
      <c r="Q3" s="111" t="s">
        <v>646</v>
      </c>
      <c r="R3" s="2"/>
      <c r="S3" s="111" t="s">
        <v>647</v>
      </c>
      <c r="T3" s="111" t="s">
        <v>648</v>
      </c>
      <c r="U3" s="111" t="s">
        <v>649</v>
      </c>
      <c r="V3" s="111" t="s">
        <v>650</v>
      </c>
      <c r="W3" s="111" t="s">
        <v>651</v>
      </c>
      <c r="X3" s="111" t="s">
        <v>652</v>
      </c>
      <c r="Y3" s="111" t="s">
        <v>653</v>
      </c>
      <c r="Z3" s="111" t="s">
        <v>654</v>
      </c>
      <c r="AA3" s="111" t="s">
        <v>655</v>
      </c>
      <c r="AB3" s="111" t="s">
        <v>656</v>
      </c>
      <c r="AC3" s="111" t="s">
        <v>657</v>
      </c>
      <c r="AD3" s="111" t="s">
        <v>658</v>
      </c>
      <c r="AE3" s="649" t="s">
        <v>659</v>
      </c>
      <c r="AF3" s="649"/>
      <c r="AG3" s="649" t="s">
        <v>660</v>
      </c>
      <c r="AH3" s="649"/>
      <c r="AI3" s="649" t="s">
        <v>661</v>
      </c>
      <c r="AJ3" s="649"/>
      <c r="AK3" s="649" t="s">
        <v>662</v>
      </c>
      <c r="AL3" s="649"/>
      <c r="AM3" s="649" t="s">
        <v>663</v>
      </c>
      <c r="AN3" s="649"/>
      <c r="AO3" s="649" t="s">
        <v>664</v>
      </c>
      <c r="AP3" s="649"/>
      <c r="AQ3" s="649" t="s">
        <v>665</v>
      </c>
      <c r="AR3" s="649"/>
      <c r="AS3" s="649" t="s">
        <v>666</v>
      </c>
      <c r="AT3" s="649"/>
      <c r="AU3" s="649" t="s">
        <v>667</v>
      </c>
      <c r="AV3" s="649"/>
      <c r="AW3" s="649" t="s">
        <v>668</v>
      </c>
      <c r="AX3" s="649"/>
      <c r="AY3" s="649" t="s">
        <v>669</v>
      </c>
      <c r="AZ3" s="649"/>
      <c r="BA3" s="649" t="s">
        <v>670</v>
      </c>
      <c r="BB3" s="649"/>
      <c r="BC3" s="649" t="s">
        <v>671</v>
      </c>
      <c r="BD3" s="649"/>
      <c r="BE3" s="649" t="s">
        <v>672</v>
      </c>
      <c r="BF3" s="649"/>
      <c r="BG3" s="649" t="s">
        <v>673</v>
      </c>
      <c r="BH3" s="649"/>
      <c r="BI3" s="649" t="s">
        <v>674</v>
      </c>
      <c r="BJ3" s="649"/>
      <c r="BK3" s="649" t="s">
        <v>675</v>
      </c>
      <c r="BL3" s="649"/>
      <c r="BM3" s="649" t="s">
        <v>676</v>
      </c>
      <c r="BN3" s="649"/>
      <c r="BO3" s="649" t="s">
        <v>677</v>
      </c>
      <c r="BP3" s="649"/>
    </row>
    <row r="4" spans="1:68" s="2" customFormat="1" ht="24" customHeight="1">
      <c r="A4" s="116"/>
      <c r="B4" s="125" t="s">
        <v>678</v>
      </c>
      <c r="C4" s="126" t="s">
        <v>679</v>
      </c>
      <c r="D4" s="126" t="s">
        <v>680</v>
      </c>
      <c r="E4" s="126" t="s">
        <v>681</v>
      </c>
      <c r="F4" s="126" t="s">
        <v>682</v>
      </c>
      <c r="G4" s="126" t="s">
        <v>683</v>
      </c>
      <c r="H4" s="126" t="s">
        <v>684</v>
      </c>
      <c r="I4" s="126" t="s">
        <v>685</v>
      </c>
      <c r="J4" s="126" t="s">
        <v>686</v>
      </c>
      <c r="K4" s="126" t="s">
        <v>687</v>
      </c>
      <c r="L4" s="126" t="s">
        <v>688</v>
      </c>
      <c r="M4" s="126" t="s">
        <v>689</v>
      </c>
      <c r="N4" s="126" t="s">
        <v>690</v>
      </c>
      <c r="O4" s="126" t="s">
        <v>691</v>
      </c>
      <c r="P4" s="126" t="s">
        <v>692</v>
      </c>
      <c r="Q4" s="126" t="s">
        <v>693</v>
      </c>
      <c r="R4" s="126" t="s">
        <v>694</v>
      </c>
      <c r="S4" s="126" t="s">
        <v>695</v>
      </c>
      <c r="T4" s="126" t="s">
        <v>696</v>
      </c>
      <c r="U4" s="126" t="s">
        <v>697</v>
      </c>
      <c r="V4" s="126" t="s">
        <v>698</v>
      </c>
      <c r="W4" s="126" t="s">
        <v>699</v>
      </c>
      <c r="X4" s="126" t="s">
        <v>700</v>
      </c>
      <c r="Y4" s="126" t="s">
        <v>701</v>
      </c>
      <c r="Z4" s="126" t="s">
        <v>702</v>
      </c>
      <c r="AA4" s="127" t="s">
        <v>703</v>
      </c>
      <c r="AB4" s="125" t="s">
        <v>704</v>
      </c>
      <c r="AC4" s="126" t="s">
        <v>705</v>
      </c>
      <c r="AD4" s="126" t="s">
        <v>706</v>
      </c>
      <c r="AE4" s="650" t="s">
        <v>707</v>
      </c>
      <c r="AF4" s="651"/>
      <c r="AG4" s="650" t="s">
        <v>708</v>
      </c>
      <c r="AH4" s="651"/>
      <c r="AI4" s="650" t="s">
        <v>709</v>
      </c>
      <c r="AJ4" s="651"/>
      <c r="AK4" s="650" t="s">
        <v>710</v>
      </c>
      <c r="AL4" s="651"/>
      <c r="AM4" s="665" t="s">
        <v>711</v>
      </c>
      <c r="AN4" s="665"/>
      <c r="AO4" s="650" t="s">
        <v>712</v>
      </c>
      <c r="AP4" s="651"/>
      <c r="AQ4" s="665" t="s">
        <v>713</v>
      </c>
      <c r="AR4" s="665"/>
      <c r="AS4" s="650" t="s">
        <v>714</v>
      </c>
      <c r="AT4" s="651"/>
      <c r="AU4" s="665" t="s">
        <v>715</v>
      </c>
      <c r="AV4" s="665"/>
      <c r="AW4" s="650" t="s">
        <v>716</v>
      </c>
      <c r="AX4" s="651"/>
      <c r="AY4" s="665" t="s">
        <v>717</v>
      </c>
      <c r="AZ4" s="665"/>
      <c r="BA4" s="650" t="s">
        <v>718</v>
      </c>
      <c r="BB4" s="651"/>
      <c r="BC4" s="665" t="s">
        <v>719</v>
      </c>
      <c r="BD4" s="669"/>
      <c r="BE4" s="668" t="s">
        <v>720</v>
      </c>
      <c r="BF4" s="651"/>
      <c r="BG4" s="650" t="s">
        <v>721</v>
      </c>
      <c r="BH4" s="651"/>
      <c r="BI4" s="650" t="s">
        <v>722</v>
      </c>
      <c r="BJ4" s="651"/>
      <c r="BK4" s="650" t="s">
        <v>723</v>
      </c>
      <c r="BL4" s="651"/>
      <c r="BM4" s="650" t="s">
        <v>724</v>
      </c>
      <c r="BN4" s="665"/>
      <c r="BO4" s="650" t="s">
        <v>725</v>
      </c>
      <c r="BP4" s="669"/>
    </row>
    <row r="5" spans="1:68" s="2" customFormat="1" ht="24" customHeight="1">
      <c r="A5" s="117"/>
      <c r="B5" s="128" t="s">
        <v>520</v>
      </c>
      <c r="C5" s="95" t="s">
        <v>520</v>
      </c>
      <c r="D5" s="95" t="s">
        <v>520</v>
      </c>
      <c r="E5" s="95" t="s">
        <v>520</v>
      </c>
      <c r="F5" s="95" t="s">
        <v>520</v>
      </c>
      <c r="G5" s="95" t="s">
        <v>520</v>
      </c>
      <c r="H5" s="95" t="s">
        <v>520</v>
      </c>
      <c r="I5" s="95" t="s">
        <v>520</v>
      </c>
      <c r="J5" s="95" t="s">
        <v>520</v>
      </c>
      <c r="K5" s="95" t="s">
        <v>520</v>
      </c>
      <c r="L5" s="95" t="s">
        <v>520</v>
      </c>
      <c r="M5" s="95" t="s">
        <v>520</v>
      </c>
      <c r="N5" s="95" t="s">
        <v>520</v>
      </c>
      <c r="O5" s="95" t="s">
        <v>520</v>
      </c>
      <c r="P5" s="95" t="s">
        <v>520</v>
      </c>
      <c r="Q5" s="95" t="s">
        <v>520</v>
      </c>
      <c r="R5" s="95" t="s">
        <v>520</v>
      </c>
      <c r="S5" s="95" t="s">
        <v>520</v>
      </c>
      <c r="T5" s="95" t="s">
        <v>520</v>
      </c>
      <c r="U5" s="95" t="s">
        <v>520</v>
      </c>
      <c r="V5" s="95" t="s">
        <v>520</v>
      </c>
      <c r="W5" s="95" t="s">
        <v>520</v>
      </c>
      <c r="X5" s="95" t="s">
        <v>520</v>
      </c>
      <c r="Y5" s="95" t="s">
        <v>520</v>
      </c>
      <c r="Z5" s="95" t="s">
        <v>520</v>
      </c>
      <c r="AA5" s="129" t="s">
        <v>520</v>
      </c>
      <c r="AB5" s="128" t="s">
        <v>520</v>
      </c>
      <c r="AC5" s="95" t="s">
        <v>520</v>
      </c>
      <c r="AD5" s="95" t="s">
        <v>520</v>
      </c>
      <c r="AE5" s="96" t="s">
        <v>520</v>
      </c>
      <c r="AF5" s="97" t="s">
        <v>521</v>
      </c>
      <c r="AG5" s="96" t="s">
        <v>520</v>
      </c>
      <c r="AH5" s="97" t="s">
        <v>521</v>
      </c>
      <c r="AI5" s="96" t="s">
        <v>520</v>
      </c>
      <c r="AJ5" s="97" t="s">
        <v>521</v>
      </c>
      <c r="AK5" s="96" t="s">
        <v>520</v>
      </c>
      <c r="AL5" s="97" t="s">
        <v>521</v>
      </c>
      <c r="AM5" s="98" t="s">
        <v>520</v>
      </c>
      <c r="AN5" s="97" t="s">
        <v>521</v>
      </c>
      <c r="AO5" s="96" t="s">
        <v>520</v>
      </c>
      <c r="AP5" s="97" t="s">
        <v>521</v>
      </c>
      <c r="AQ5" s="98" t="s">
        <v>520</v>
      </c>
      <c r="AR5" s="97" t="s">
        <v>521</v>
      </c>
      <c r="AS5" s="96" t="s">
        <v>520</v>
      </c>
      <c r="AT5" s="97" t="s">
        <v>521</v>
      </c>
      <c r="AU5" s="98" t="s">
        <v>520</v>
      </c>
      <c r="AV5" s="97" t="s">
        <v>521</v>
      </c>
      <c r="AW5" s="96" t="s">
        <v>520</v>
      </c>
      <c r="AX5" s="97" t="s">
        <v>521</v>
      </c>
      <c r="AY5" s="98" t="s">
        <v>520</v>
      </c>
      <c r="AZ5" s="97" t="s">
        <v>521</v>
      </c>
      <c r="BA5" s="96" t="s">
        <v>520</v>
      </c>
      <c r="BB5" s="97" t="s">
        <v>521</v>
      </c>
      <c r="BC5" s="98" t="s">
        <v>520</v>
      </c>
      <c r="BD5" s="147" t="s">
        <v>521</v>
      </c>
      <c r="BE5" s="153" t="s">
        <v>520</v>
      </c>
      <c r="BF5" s="97" t="s">
        <v>521</v>
      </c>
      <c r="BG5" s="96" t="s">
        <v>520</v>
      </c>
      <c r="BH5" s="97" t="s">
        <v>521</v>
      </c>
      <c r="BI5" s="96" t="s">
        <v>520</v>
      </c>
      <c r="BJ5" s="97" t="s">
        <v>521</v>
      </c>
      <c r="BK5" s="96" t="s">
        <v>520</v>
      </c>
      <c r="BL5" s="97" t="s">
        <v>521</v>
      </c>
      <c r="BM5" s="96" t="s">
        <v>520</v>
      </c>
      <c r="BN5" s="96" t="s">
        <v>521</v>
      </c>
      <c r="BO5" s="96" t="s">
        <v>520</v>
      </c>
      <c r="BP5" s="147" t="s">
        <v>521</v>
      </c>
    </row>
    <row r="6" spans="1:68" s="69" customFormat="1" ht="24" customHeight="1">
      <c r="A6" s="118" t="s">
        <v>523</v>
      </c>
      <c r="B6" s="130">
        <v>60590</v>
      </c>
      <c r="C6" s="104">
        <v>71634</v>
      </c>
      <c r="D6" s="104">
        <v>75352</v>
      </c>
      <c r="E6" s="104">
        <v>70258</v>
      </c>
      <c r="F6" s="104">
        <v>66343</v>
      </c>
      <c r="G6" s="104">
        <v>88190</v>
      </c>
      <c r="H6" s="104">
        <v>106012</v>
      </c>
      <c r="I6" s="104">
        <v>100665</v>
      </c>
      <c r="J6" s="104">
        <v>131682</v>
      </c>
      <c r="K6" s="104">
        <v>125766</v>
      </c>
      <c r="L6" s="104">
        <v>127723</v>
      </c>
      <c r="M6" s="104">
        <v>115438</v>
      </c>
      <c r="N6" s="104">
        <v>118880</v>
      </c>
      <c r="O6" s="104">
        <v>151091</v>
      </c>
      <c r="P6" s="104">
        <v>152634</v>
      </c>
      <c r="Q6" s="104">
        <v>155178</v>
      </c>
      <c r="R6" s="104"/>
      <c r="S6" s="104">
        <v>212592</v>
      </c>
      <c r="T6" s="104">
        <v>241573</v>
      </c>
      <c r="U6" s="104">
        <v>300224</v>
      </c>
      <c r="V6" s="104">
        <v>290206</v>
      </c>
      <c r="W6" s="104">
        <v>261720</v>
      </c>
      <c r="X6" s="104">
        <v>224518</v>
      </c>
      <c r="Y6" s="104">
        <v>218876</v>
      </c>
      <c r="Z6" s="104">
        <v>218404</v>
      </c>
      <c r="AA6" s="131">
        <v>221223</v>
      </c>
      <c r="AB6" s="130">
        <v>200252</v>
      </c>
      <c r="AC6" s="104">
        <v>187491</v>
      </c>
      <c r="AD6" s="104">
        <v>168774</v>
      </c>
      <c r="AE6" s="181">
        <v>177901</v>
      </c>
      <c r="AF6" s="182"/>
      <c r="AG6" s="181">
        <v>150953</v>
      </c>
      <c r="AH6" s="182"/>
      <c r="AI6" s="181">
        <v>174309</v>
      </c>
      <c r="AJ6" s="182"/>
      <c r="AK6" s="181">
        <v>162397</v>
      </c>
      <c r="AL6" s="182"/>
      <c r="AM6" s="181">
        <v>178493</v>
      </c>
      <c r="AN6" s="182"/>
      <c r="AO6" s="181">
        <v>188678</v>
      </c>
      <c r="AP6" s="182"/>
      <c r="AQ6" s="181">
        <v>164493</v>
      </c>
      <c r="AR6" s="182"/>
      <c r="AS6" s="181">
        <v>105656</v>
      </c>
      <c r="AT6" s="182"/>
      <c r="AU6" s="181">
        <v>104356</v>
      </c>
      <c r="AV6" s="182"/>
      <c r="AW6" s="181">
        <v>114661</v>
      </c>
      <c r="AX6" s="182"/>
      <c r="AY6" s="181">
        <v>118147</v>
      </c>
      <c r="AZ6" s="182"/>
      <c r="BA6" s="181">
        <v>129218</v>
      </c>
      <c r="BB6" s="182"/>
      <c r="BC6" s="181">
        <v>130388</v>
      </c>
      <c r="BD6" s="197"/>
      <c r="BE6" s="191">
        <v>179694</v>
      </c>
      <c r="BF6" s="182"/>
      <c r="BG6" s="181">
        <v>166360</v>
      </c>
      <c r="BH6" s="182"/>
      <c r="BI6" s="181">
        <v>202665</v>
      </c>
      <c r="BJ6" s="182"/>
      <c r="BK6" s="181">
        <v>203975</v>
      </c>
      <c r="BL6" s="182"/>
      <c r="BM6" s="104">
        <v>248977</v>
      </c>
      <c r="BN6" s="210"/>
      <c r="BO6" s="104">
        <v>170669</v>
      </c>
      <c r="BP6" s="148"/>
    </row>
    <row r="7" spans="1:68" ht="24" customHeight="1">
      <c r="A7" s="119" t="s">
        <v>525</v>
      </c>
      <c r="B7" s="132">
        <v>29328</v>
      </c>
      <c r="C7" s="105">
        <v>33439</v>
      </c>
      <c r="D7" s="105">
        <v>52300</v>
      </c>
      <c r="E7" s="105">
        <v>55143</v>
      </c>
      <c r="F7" s="105">
        <v>55198</v>
      </c>
      <c r="G7" s="105">
        <v>67107</v>
      </c>
      <c r="H7" s="105">
        <v>64756</v>
      </c>
      <c r="I7" s="105">
        <v>83581</v>
      </c>
      <c r="J7" s="105">
        <v>104942</v>
      </c>
      <c r="K7" s="105">
        <v>105099</v>
      </c>
      <c r="L7" s="105">
        <v>124912</v>
      </c>
      <c r="M7" s="105">
        <v>133898</v>
      </c>
      <c r="N7" s="105">
        <v>140308</v>
      </c>
      <c r="O7" s="105">
        <v>145337</v>
      </c>
      <c r="P7" s="105">
        <v>176442</v>
      </c>
      <c r="Q7" s="105">
        <v>156753</v>
      </c>
      <c r="R7" s="105"/>
      <c r="S7" s="105">
        <v>163241</v>
      </c>
      <c r="T7" s="105">
        <v>166240</v>
      </c>
      <c r="U7" s="105">
        <v>175306</v>
      </c>
      <c r="V7" s="105">
        <v>182685</v>
      </c>
      <c r="W7" s="105">
        <v>158199</v>
      </c>
      <c r="X7" s="105">
        <v>162118</v>
      </c>
      <c r="Y7" s="105">
        <v>186123</v>
      </c>
      <c r="Z7" s="105">
        <v>151211</v>
      </c>
      <c r="AA7" s="133">
        <v>161686</v>
      </c>
      <c r="AB7" s="132">
        <v>161250</v>
      </c>
      <c r="AC7" s="105">
        <v>171771</v>
      </c>
      <c r="AD7" s="105">
        <v>153874</v>
      </c>
      <c r="AE7" s="183">
        <v>123126</v>
      </c>
      <c r="AF7" s="184">
        <v>146667</v>
      </c>
      <c r="AG7" s="183">
        <v>125913</v>
      </c>
      <c r="AH7" s="184">
        <v>148843</v>
      </c>
      <c r="AI7" s="183">
        <v>109889</v>
      </c>
      <c r="AJ7" s="184">
        <v>131216</v>
      </c>
      <c r="AK7" s="183">
        <v>111090</v>
      </c>
      <c r="AL7" s="184">
        <v>131416</v>
      </c>
      <c r="AM7" s="198">
        <v>105824</v>
      </c>
      <c r="AN7" s="184">
        <v>128826</v>
      </c>
      <c r="AO7" s="183">
        <v>134814</v>
      </c>
      <c r="AP7" s="184">
        <v>156794</v>
      </c>
      <c r="AQ7" s="198">
        <v>192268</v>
      </c>
      <c r="AR7" s="184">
        <v>216972</v>
      </c>
      <c r="AS7" s="183">
        <v>194989</v>
      </c>
      <c r="AT7" s="184">
        <v>221763</v>
      </c>
      <c r="AU7" s="198">
        <v>167898</v>
      </c>
      <c r="AV7" s="184">
        <v>193365</v>
      </c>
      <c r="AW7" s="183">
        <v>152368</v>
      </c>
      <c r="AX7" s="184">
        <v>170850</v>
      </c>
      <c r="AY7" s="198">
        <v>111201</v>
      </c>
      <c r="AZ7" s="184">
        <v>131611</v>
      </c>
      <c r="BA7" s="183">
        <v>113460</v>
      </c>
      <c r="BB7" s="184">
        <v>140855</v>
      </c>
      <c r="BC7" s="198">
        <v>132767</v>
      </c>
      <c r="BD7" s="199">
        <v>155511</v>
      </c>
      <c r="BE7" s="192">
        <v>151799</v>
      </c>
      <c r="BF7" s="184">
        <v>183243</v>
      </c>
      <c r="BG7" s="183">
        <v>157170</v>
      </c>
      <c r="BH7" s="184">
        <v>190512</v>
      </c>
      <c r="BI7" s="183">
        <v>171646</v>
      </c>
      <c r="BJ7" s="184">
        <v>194064</v>
      </c>
      <c r="BK7" s="183">
        <v>161874</v>
      </c>
      <c r="BL7" s="184">
        <v>194966</v>
      </c>
      <c r="BM7" s="105">
        <v>173724</v>
      </c>
      <c r="BN7" s="105">
        <v>213694</v>
      </c>
      <c r="BO7" s="105">
        <v>179123</v>
      </c>
      <c r="BP7" s="133">
        <v>221034</v>
      </c>
    </row>
    <row r="8" spans="1:68" ht="24" customHeight="1">
      <c r="A8" s="120" t="s">
        <v>527</v>
      </c>
      <c r="B8" s="134">
        <v>3784</v>
      </c>
      <c r="C8" s="112">
        <v>2691</v>
      </c>
      <c r="D8" s="112">
        <v>3980</v>
      </c>
      <c r="E8" s="112">
        <v>6124</v>
      </c>
      <c r="F8" s="112">
        <v>7285</v>
      </c>
      <c r="G8" s="112">
        <v>7620</v>
      </c>
      <c r="H8" s="112">
        <v>7857</v>
      </c>
      <c r="I8" s="112">
        <v>9003</v>
      </c>
      <c r="J8" s="112">
        <v>10050</v>
      </c>
      <c r="K8" s="112">
        <v>10416</v>
      </c>
      <c r="L8" s="112">
        <v>13357</v>
      </c>
      <c r="M8" s="112">
        <v>14540</v>
      </c>
      <c r="N8" s="112">
        <v>14058</v>
      </c>
      <c r="O8" s="112">
        <v>13116</v>
      </c>
      <c r="P8" s="112">
        <v>11365</v>
      </c>
      <c r="Q8" s="112">
        <v>10722</v>
      </c>
      <c r="R8" s="112"/>
      <c r="S8" s="112">
        <v>12251</v>
      </c>
      <c r="T8" s="112">
        <v>14030</v>
      </c>
      <c r="U8" s="112">
        <v>17003</v>
      </c>
      <c r="V8" s="112">
        <v>15095</v>
      </c>
      <c r="W8" s="112">
        <v>16261</v>
      </c>
      <c r="X8" s="112">
        <v>14705</v>
      </c>
      <c r="Y8" s="112">
        <v>16968</v>
      </c>
      <c r="Z8" s="112">
        <v>14778</v>
      </c>
      <c r="AA8" s="135">
        <v>15060</v>
      </c>
      <c r="AB8" s="134">
        <v>13760</v>
      </c>
      <c r="AC8" s="112">
        <v>13380</v>
      </c>
      <c r="AD8" s="112">
        <v>12506</v>
      </c>
      <c r="AE8" s="185">
        <v>14004</v>
      </c>
      <c r="AF8" s="186">
        <v>17899</v>
      </c>
      <c r="AG8" s="185">
        <v>7116</v>
      </c>
      <c r="AH8" s="186">
        <v>10906</v>
      </c>
      <c r="AI8" s="185">
        <v>9397</v>
      </c>
      <c r="AJ8" s="186">
        <v>13156</v>
      </c>
      <c r="AK8" s="185">
        <v>6420</v>
      </c>
      <c r="AL8" s="186">
        <v>10272</v>
      </c>
      <c r="AM8" s="200">
        <v>6564</v>
      </c>
      <c r="AN8" s="186">
        <v>10147</v>
      </c>
      <c r="AO8" s="185">
        <v>5235</v>
      </c>
      <c r="AP8" s="186">
        <v>8740</v>
      </c>
      <c r="AQ8" s="200">
        <v>7620</v>
      </c>
      <c r="AR8" s="186">
        <v>11264</v>
      </c>
      <c r="AS8" s="185">
        <v>8772</v>
      </c>
      <c r="AT8" s="186">
        <v>12115</v>
      </c>
      <c r="AU8" s="200">
        <v>10513</v>
      </c>
      <c r="AV8" s="186">
        <v>13605</v>
      </c>
      <c r="AW8" s="185">
        <v>10275</v>
      </c>
      <c r="AX8" s="186">
        <v>12145</v>
      </c>
      <c r="AY8" s="200">
        <v>9905</v>
      </c>
      <c r="AZ8" s="186">
        <v>11515</v>
      </c>
      <c r="BA8" s="185">
        <v>9353</v>
      </c>
      <c r="BB8" s="186">
        <v>12447</v>
      </c>
      <c r="BC8" s="200">
        <v>7834</v>
      </c>
      <c r="BD8" s="201">
        <v>10265</v>
      </c>
      <c r="BE8" s="193">
        <v>9070</v>
      </c>
      <c r="BF8" s="186">
        <v>13158</v>
      </c>
      <c r="BG8" s="185">
        <v>12993</v>
      </c>
      <c r="BH8" s="186">
        <v>17146</v>
      </c>
      <c r="BI8" s="185">
        <v>13168</v>
      </c>
      <c r="BJ8" s="186">
        <v>16556</v>
      </c>
      <c r="BK8" s="185">
        <v>16398</v>
      </c>
      <c r="BL8" s="186">
        <v>21133</v>
      </c>
      <c r="BM8" s="112">
        <v>23487</v>
      </c>
      <c r="BN8" s="211">
        <v>29796</v>
      </c>
      <c r="BO8" s="112">
        <v>23630</v>
      </c>
      <c r="BP8" s="149">
        <v>29980</v>
      </c>
    </row>
    <row r="9" spans="1:68" ht="24" customHeight="1">
      <c r="A9" s="121" t="s">
        <v>528</v>
      </c>
      <c r="B9" s="136">
        <f t="shared" ref="B9:D9" si="0">B8/B7</f>
        <v>0.12902345881069285</v>
      </c>
      <c r="C9" s="113">
        <f t="shared" si="0"/>
        <v>8.0474894584168191E-2</v>
      </c>
      <c r="D9" s="113">
        <f t="shared" si="0"/>
        <v>7.6099426386233265E-2</v>
      </c>
      <c r="E9" s="113">
        <f t="shared" ref="E9:AD9" si="1">E8/E7</f>
        <v>0.1110567071069764</v>
      </c>
      <c r="F9" s="113">
        <f t="shared" si="1"/>
        <v>0.13197941954418638</v>
      </c>
      <c r="G9" s="113">
        <f t="shared" si="1"/>
        <v>0.11355000223523626</v>
      </c>
      <c r="H9" s="113">
        <f t="shared" si="1"/>
        <v>0.12133238618815245</v>
      </c>
      <c r="I9" s="113">
        <f t="shared" si="1"/>
        <v>0.10771586843899929</v>
      </c>
      <c r="J9" s="113">
        <f t="shared" si="1"/>
        <v>9.5767185683520425E-2</v>
      </c>
      <c r="K9" s="113">
        <f t="shared" si="1"/>
        <v>9.9106556675134877E-2</v>
      </c>
      <c r="L9" s="113">
        <f t="shared" si="1"/>
        <v>0.10693127962085308</v>
      </c>
      <c r="M9" s="113">
        <f t="shared" si="1"/>
        <v>0.10859012083825001</v>
      </c>
      <c r="N9" s="113">
        <f t="shared" si="1"/>
        <v>0.10019385922399293</v>
      </c>
      <c r="O9" s="113">
        <f t="shared" si="1"/>
        <v>9.0245429587785628E-2</v>
      </c>
      <c r="P9" s="113">
        <f t="shared" si="1"/>
        <v>6.4412101427097856E-2</v>
      </c>
      <c r="Q9" s="113">
        <f t="shared" si="1"/>
        <v>6.8400604773114396E-2</v>
      </c>
      <c r="R9" s="113" t="e">
        <f t="shared" si="1"/>
        <v>#DIV/0!</v>
      </c>
      <c r="S9" s="113">
        <f t="shared" si="1"/>
        <v>7.5048547852561556E-2</v>
      </c>
      <c r="T9" s="113">
        <f t="shared" si="1"/>
        <v>8.4396053897978829E-2</v>
      </c>
      <c r="U9" s="113">
        <f t="shared" si="1"/>
        <v>9.6990405348362299E-2</v>
      </c>
      <c r="V9" s="113">
        <f t="shared" si="1"/>
        <v>8.2628568300626759E-2</v>
      </c>
      <c r="W9" s="113">
        <f t="shared" si="1"/>
        <v>0.10278826035562803</v>
      </c>
      <c r="X9" s="113">
        <f t="shared" si="1"/>
        <v>9.0705535474160798E-2</v>
      </c>
      <c r="Y9" s="113">
        <f t="shared" si="1"/>
        <v>9.1165519575764409E-2</v>
      </c>
      <c r="Z9" s="113">
        <f t="shared" si="1"/>
        <v>9.7730985179649635E-2</v>
      </c>
      <c r="AA9" s="137">
        <f t="shared" si="1"/>
        <v>9.3143500364904819E-2</v>
      </c>
      <c r="AB9" s="136">
        <f t="shared" si="1"/>
        <v>8.533333333333333E-2</v>
      </c>
      <c r="AC9" s="113">
        <f t="shared" si="1"/>
        <v>7.7894405924166479E-2</v>
      </c>
      <c r="AD9" s="113">
        <f t="shared" si="1"/>
        <v>8.1274289353626988E-2</v>
      </c>
      <c r="AE9" s="187">
        <f t="shared" ref="AE9:AN9" si="2">AE8/AE7</f>
        <v>0.11373714731250914</v>
      </c>
      <c r="AF9" s="195">
        <f t="shared" si="2"/>
        <v>0.12203835900372954</v>
      </c>
      <c r="AG9" s="187">
        <f t="shared" si="2"/>
        <v>5.6515212885087325E-2</v>
      </c>
      <c r="AH9" s="188">
        <f t="shared" si="2"/>
        <v>7.3271836767600754E-2</v>
      </c>
      <c r="AI9" s="187">
        <f t="shared" si="2"/>
        <v>8.5513563686993241E-2</v>
      </c>
      <c r="AJ9" s="188">
        <f t="shared" si="2"/>
        <v>0.10026216315083526</v>
      </c>
      <c r="AK9" s="187">
        <f t="shared" si="2"/>
        <v>5.7790980286254387E-2</v>
      </c>
      <c r="AL9" s="195">
        <f t="shared" si="2"/>
        <v>7.8163998295489132E-2</v>
      </c>
      <c r="AM9" s="187">
        <f t="shared" si="2"/>
        <v>6.2027517387360148E-2</v>
      </c>
      <c r="AN9" s="195">
        <f t="shared" si="2"/>
        <v>7.8765156102029096E-2</v>
      </c>
      <c r="AO9" s="187">
        <f t="shared" ref="AO9:BJ9" si="3">AO8/AO7</f>
        <v>3.8831278650585249E-2</v>
      </c>
      <c r="AP9" s="195">
        <f t="shared" si="3"/>
        <v>5.5741928900340576E-2</v>
      </c>
      <c r="AQ9" s="187">
        <f t="shared" si="3"/>
        <v>3.9632180081968921E-2</v>
      </c>
      <c r="AR9" s="195">
        <f t="shared" si="3"/>
        <v>5.1914532750769682E-2</v>
      </c>
      <c r="AS9" s="187">
        <f t="shared" si="3"/>
        <v>4.498715312145813E-2</v>
      </c>
      <c r="AT9" s="195">
        <f t="shared" si="3"/>
        <v>5.4630393708598818E-2</v>
      </c>
      <c r="AU9" s="187">
        <f t="shared" si="3"/>
        <v>6.2615397443686049E-2</v>
      </c>
      <c r="AV9" s="195">
        <f t="shared" si="3"/>
        <v>7.0359165309130403E-2</v>
      </c>
      <c r="AW9" s="187">
        <f t="shared" si="3"/>
        <v>6.7435419510658401E-2</v>
      </c>
      <c r="AX9" s="195">
        <f t="shared" si="3"/>
        <v>7.1085747731928592E-2</v>
      </c>
      <c r="AY9" s="187">
        <f t="shared" si="3"/>
        <v>8.9072939991546835E-2</v>
      </c>
      <c r="AZ9" s="195">
        <f t="shared" si="3"/>
        <v>8.7492686781500031E-2</v>
      </c>
      <c r="BA9" s="187">
        <f t="shared" si="3"/>
        <v>8.2434338092719897E-2</v>
      </c>
      <c r="BB9" s="195">
        <f t="shared" si="3"/>
        <v>8.8367470093358422E-2</v>
      </c>
      <c r="BC9" s="187">
        <f t="shared" si="3"/>
        <v>5.9005626398126038E-2</v>
      </c>
      <c r="BD9" s="202">
        <f t="shared" si="3"/>
        <v>6.600819234652211E-2</v>
      </c>
      <c r="BE9" s="194">
        <f t="shared" si="3"/>
        <v>5.9750064229672134E-2</v>
      </c>
      <c r="BF9" s="195">
        <f t="shared" si="3"/>
        <v>7.1806290008349566E-2</v>
      </c>
      <c r="BG9" s="187">
        <f t="shared" si="3"/>
        <v>8.2668448177133036E-2</v>
      </c>
      <c r="BH9" s="188">
        <f t="shared" si="3"/>
        <v>8.9999580078945152E-2</v>
      </c>
      <c r="BI9" s="187">
        <f t="shared" si="3"/>
        <v>7.6716031832958526E-2</v>
      </c>
      <c r="BJ9" s="188">
        <f t="shared" si="3"/>
        <v>8.531206200016489E-2</v>
      </c>
      <c r="BK9" s="187">
        <f t="shared" ref="BK9:BL9" si="4">BK8/BK7</f>
        <v>0.101301011898143</v>
      </c>
      <c r="BL9" s="188">
        <f t="shared" si="4"/>
        <v>0.10839325831170563</v>
      </c>
      <c r="BM9" s="113">
        <f t="shared" ref="BM9:BN9" si="5">BM8/BM7</f>
        <v>0.13519720936658147</v>
      </c>
      <c r="BN9" s="212">
        <f t="shared" si="5"/>
        <v>0.13943302104878938</v>
      </c>
      <c r="BO9" s="113">
        <f t="shared" ref="BO9:BP9" si="6">BO8/BO7</f>
        <v>0.13192052388582148</v>
      </c>
      <c r="BP9" s="150">
        <f t="shared" si="6"/>
        <v>0.13563524163703322</v>
      </c>
    </row>
    <row r="10" spans="1:68" ht="24" customHeight="1">
      <c r="A10" s="122" t="s">
        <v>529</v>
      </c>
      <c r="B10" s="132">
        <v>1577</v>
      </c>
      <c r="C10" s="105">
        <v>1682</v>
      </c>
      <c r="D10" s="105">
        <v>2362</v>
      </c>
      <c r="E10" s="105">
        <v>3120</v>
      </c>
      <c r="F10" s="105">
        <v>3822</v>
      </c>
      <c r="G10" s="105">
        <v>4448</v>
      </c>
      <c r="H10" s="105">
        <v>4563</v>
      </c>
      <c r="I10" s="105">
        <v>4865</v>
      </c>
      <c r="J10" s="105">
        <v>5388</v>
      </c>
      <c r="K10" s="105">
        <v>5583</v>
      </c>
      <c r="L10" s="105">
        <v>6600</v>
      </c>
      <c r="M10" s="105">
        <v>7505</v>
      </c>
      <c r="N10" s="105">
        <v>7755</v>
      </c>
      <c r="O10" s="105">
        <v>8031</v>
      </c>
      <c r="P10" s="105">
        <v>7934</v>
      </c>
      <c r="Q10" s="105">
        <v>8278</v>
      </c>
      <c r="R10" s="105"/>
      <c r="S10" s="105">
        <v>9995</v>
      </c>
      <c r="T10" s="105">
        <v>11416</v>
      </c>
      <c r="U10" s="105">
        <v>12280</v>
      </c>
      <c r="V10" s="105">
        <v>11798</v>
      </c>
      <c r="W10" s="105">
        <v>10691</v>
      </c>
      <c r="X10" s="105">
        <v>10863</v>
      </c>
      <c r="Y10" s="105">
        <v>12728</v>
      </c>
      <c r="Z10" s="105">
        <v>10261</v>
      </c>
      <c r="AA10" s="133">
        <v>11718</v>
      </c>
      <c r="AB10" s="132">
        <v>9852</v>
      </c>
      <c r="AC10" s="105">
        <v>9993</v>
      </c>
      <c r="AD10" s="105">
        <v>9642</v>
      </c>
      <c r="AE10" s="183">
        <v>13228</v>
      </c>
      <c r="AF10" s="184">
        <v>17360</v>
      </c>
      <c r="AG10" s="183">
        <v>12262</v>
      </c>
      <c r="AH10" s="184">
        <v>16101</v>
      </c>
      <c r="AI10" s="183">
        <v>11058</v>
      </c>
      <c r="AJ10" s="184">
        <v>14515</v>
      </c>
      <c r="AK10" s="183">
        <v>11188</v>
      </c>
      <c r="AL10" s="184">
        <v>14473</v>
      </c>
      <c r="AM10" s="198">
        <v>10975</v>
      </c>
      <c r="AN10" s="184">
        <v>14011</v>
      </c>
      <c r="AO10" s="183">
        <v>11451</v>
      </c>
      <c r="AP10" s="184">
        <v>14534</v>
      </c>
      <c r="AQ10" s="198">
        <v>11584</v>
      </c>
      <c r="AR10" s="184">
        <v>14679</v>
      </c>
      <c r="AS10" s="183">
        <v>10742</v>
      </c>
      <c r="AT10" s="184">
        <v>13855</v>
      </c>
      <c r="AU10" s="198">
        <v>9797</v>
      </c>
      <c r="AV10" s="184">
        <v>12944</v>
      </c>
      <c r="AW10" s="183">
        <v>8535</v>
      </c>
      <c r="AX10" s="184">
        <v>11330</v>
      </c>
      <c r="AY10" s="198">
        <v>8195</v>
      </c>
      <c r="AZ10" s="184">
        <v>10811</v>
      </c>
      <c r="BA10" s="183">
        <v>7224</v>
      </c>
      <c r="BB10" s="184">
        <v>9950</v>
      </c>
      <c r="BC10" s="198">
        <v>7010</v>
      </c>
      <c r="BD10" s="199">
        <v>9724</v>
      </c>
      <c r="BE10" s="192">
        <v>7448</v>
      </c>
      <c r="BF10" s="184">
        <v>10462</v>
      </c>
      <c r="BG10" s="183">
        <v>7786</v>
      </c>
      <c r="BH10" s="184">
        <v>10866</v>
      </c>
      <c r="BI10" s="183">
        <v>8397</v>
      </c>
      <c r="BJ10" s="184">
        <v>10290</v>
      </c>
      <c r="BK10" s="183">
        <v>8181</v>
      </c>
      <c r="BL10" s="184">
        <v>11450</v>
      </c>
      <c r="BM10" s="105">
        <v>8439</v>
      </c>
      <c r="BN10" s="105">
        <v>11960</v>
      </c>
      <c r="BO10" s="105">
        <v>9531</v>
      </c>
      <c r="BP10" s="133">
        <v>13209</v>
      </c>
    </row>
    <row r="11" spans="1:68" ht="24" customHeight="1">
      <c r="A11" s="120" t="s">
        <v>148</v>
      </c>
      <c r="B11" s="134">
        <f t="shared" ref="B11" si="7">B8-B10</f>
        <v>2207</v>
      </c>
      <c r="C11" s="112">
        <f t="shared" ref="C11" si="8">C8-C10</f>
        <v>1009</v>
      </c>
      <c r="D11" s="112">
        <f t="shared" ref="D11" si="9">D8-D10</f>
        <v>1618</v>
      </c>
      <c r="E11" s="112">
        <f t="shared" ref="E11:AC11" si="10">E8-E10</f>
        <v>3004</v>
      </c>
      <c r="F11" s="112">
        <f t="shared" si="10"/>
        <v>3463</v>
      </c>
      <c r="G11" s="112">
        <f t="shared" si="10"/>
        <v>3172</v>
      </c>
      <c r="H11" s="112">
        <f t="shared" si="10"/>
        <v>3294</v>
      </c>
      <c r="I11" s="112">
        <f t="shared" si="10"/>
        <v>4138</v>
      </c>
      <c r="J11" s="112">
        <f t="shared" si="10"/>
        <v>4662</v>
      </c>
      <c r="K11" s="112">
        <f t="shared" si="10"/>
        <v>4833</v>
      </c>
      <c r="L11" s="112">
        <f t="shared" si="10"/>
        <v>6757</v>
      </c>
      <c r="M11" s="112">
        <f t="shared" si="10"/>
        <v>7035</v>
      </c>
      <c r="N11" s="112">
        <f t="shared" si="10"/>
        <v>6303</v>
      </c>
      <c r="O11" s="112">
        <f t="shared" si="10"/>
        <v>5085</v>
      </c>
      <c r="P11" s="112">
        <f t="shared" si="10"/>
        <v>3431</v>
      </c>
      <c r="Q11" s="112">
        <f t="shared" si="10"/>
        <v>2444</v>
      </c>
      <c r="R11" s="112">
        <f t="shared" si="10"/>
        <v>0</v>
      </c>
      <c r="S11" s="112">
        <f>S8-S10-1</f>
        <v>2255</v>
      </c>
      <c r="T11" s="112">
        <f>T8-T10-1</f>
        <v>2613</v>
      </c>
      <c r="U11" s="112">
        <f>U8-U10-1</f>
        <v>4722</v>
      </c>
      <c r="V11" s="112">
        <f>V8-V10-1</f>
        <v>3296</v>
      </c>
      <c r="W11" s="112">
        <f>W8-W10-1</f>
        <v>5569</v>
      </c>
      <c r="X11" s="112">
        <f t="shared" si="10"/>
        <v>3842</v>
      </c>
      <c r="Y11" s="112">
        <f t="shared" si="10"/>
        <v>4240</v>
      </c>
      <c r="Z11" s="112">
        <f t="shared" si="10"/>
        <v>4517</v>
      </c>
      <c r="AA11" s="135">
        <f>AA8-AA10-1</f>
        <v>3341</v>
      </c>
      <c r="AB11" s="134">
        <f>AB8-AB10-1</f>
        <v>3907</v>
      </c>
      <c r="AC11" s="112">
        <f t="shared" si="10"/>
        <v>3387</v>
      </c>
      <c r="AD11" s="112">
        <f>AD8-AD10-1</f>
        <v>2863</v>
      </c>
      <c r="AE11" s="185">
        <f>AE8-AE10-1</f>
        <v>775</v>
      </c>
      <c r="AF11" s="186">
        <f>AF8-AF10</f>
        <v>539</v>
      </c>
      <c r="AG11" s="185">
        <f>AG8-AG10+1</f>
        <v>-5145</v>
      </c>
      <c r="AH11" s="186">
        <f>AH8-AH10</f>
        <v>-5195</v>
      </c>
      <c r="AI11" s="185">
        <f>AI8-AI10+1</f>
        <v>-1660</v>
      </c>
      <c r="AJ11" s="186">
        <f>AJ8-AJ10</f>
        <v>-1359</v>
      </c>
      <c r="AK11" s="185">
        <f>AK8-AK10+1</f>
        <v>-4767</v>
      </c>
      <c r="AL11" s="186">
        <f>AL8-AL10+1</f>
        <v>-4200</v>
      </c>
      <c r="AM11" s="200">
        <f>AM8-AM10</f>
        <v>-4411</v>
      </c>
      <c r="AN11" s="186">
        <f>AN8-AN10+1</f>
        <v>-3863</v>
      </c>
      <c r="AO11" s="185">
        <f>AO8-AO10</f>
        <v>-6216</v>
      </c>
      <c r="AP11" s="186">
        <f>AP8-AP10</f>
        <v>-5794</v>
      </c>
      <c r="AQ11" s="200">
        <f>AQ8-AQ10+1</f>
        <v>-3963</v>
      </c>
      <c r="AR11" s="186">
        <f>AR8-AR10+1</f>
        <v>-3414</v>
      </c>
      <c r="AS11" s="185">
        <f>AS8-AS10+1</f>
        <v>-1969</v>
      </c>
      <c r="AT11" s="186">
        <f>AT8-AT10</f>
        <v>-1740</v>
      </c>
      <c r="AU11" s="200">
        <f>AU8-AU10-1</f>
        <v>715</v>
      </c>
      <c r="AV11" s="186">
        <f>AV8-AV10</f>
        <v>661</v>
      </c>
      <c r="AW11" s="185">
        <f>AW8-AW10-1</f>
        <v>1739</v>
      </c>
      <c r="AX11" s="186">
        <f>AX8-AX10-1</f>
        <v>814</v>
      </c>
      <c r="AY11" s="200">
        <f>AY8-AY10-1</f>
        <v>1709</v>
      </c>
      <c r="AZ11" s="186">
        <f>AZ8-AZ10-1</f>
        <v>703</v>
      </c>
      <c r="BA11" s="185">
        <f>BA8-BA10</f>
        <v>2129</v>
      </c>
      <c r="BB11" s="186">
        <f>BB8-BB10</f>
        <v>2497</v>
      </c>
      <c r="BC11" s="200">
        <f>BC8-BC10-1</f>
        <v>823</v>
      </c>
      <c r="BD11" s="201">
        <f>BD8-BD10-1</f>
        <v>540</v>
      </c>
      <c r="BE11" s="193">
        <f>BE8-BE10-1</f>
        <v>1621</v>
      </c>
      <c r="BF11" s="186">
        <f>BF8-BF10</f>
        <v>2696</v>
      </c>
      <c r="BG11" s="185">
        <f>BG8-BG10</f>
        <v>5207</v>
      </c>
      <c r="BH11" s="186">
        <f>BH8-BH10</f>
        <v>6280</v>
      </c>
      <c r="BI11" s="185">
        <f>BI8-BI10-1</f>
        <v>4770</v>
      </c>
      <c r="BJ11" s="186">
        <f>BJ8-BJ10-1</f>
        <v>6265</v>
      </c>
      <c r="BK11" s="185">
        <f>BK8-BK10-1</f>
        <v>8216</v>
      </c>
      <c r="BL11" s="186">
        <f>BL8-BL10-1</f>
        <v>9682</v>
      </c>
      <c r="BM11" s="112">
        <f>BM8-BM10-1</f>
        <v>15047</v>
      </c>
      <c r="BN11" s="211">
        <f>BN8-BN10</f>
        <v>17836</v>
      </c>
      <c r="BO11" s="112">
        <f>BO8-BO10-1</f>
        <v>14098</v>
      </c>
      <c r="BP11" s="149">
        <f>BP8-BP10-1</f>
        <v>16770</v>
      </c>
    </row>
    <row r="12" spans="1:68" ht="24" customHeight="1">
      <c r="A12" s="121" t="s">
        <v>149</v>
      </c>
      <c r="B12" s="136">
        <f t="shared" ref="B12:D12" si="11">B11/B7</f>
        <v>7.525231860338244E-2</v>
      </c>
      <c r="C12" s="113">
        <f t="shared" si="11"/>
        <v>3.0174347318998773E-2</v>
      </c>
      <c r="D12" s="113">
        <f t="shared" si="11"/>
        <v>3.0936902485659657E-2</v>
      </c>
      <c r="E12" s="113">
        <f t="shared" ref="E12:AC12" si="12">E11/E7</f>
        <v>5.4476542806883917E-2</v>
      </c>
      <c r="F12" s="113">
        <f t="shared" si="12"/>
        <v>6.2737780354360659E-2</v>
      </c>
      <c r="G12" s="113">
        <f t="shared" si="12"/>
        <v>4.7267796206058983E-2</v>
      </c>
      <c r="H12" s="113">
        <f t="shared" si="12"/>
        <v>5.0867873247266659E-2</v>
      </c>
      <c r="I12" s="113">
        <f t="shared" si="12"/>
        <v>4.9508859669063543E-2</v>
      </c>
      <c r="J12" s="113">
        <f t="shared" si="12"/>
        <v>4.442453926931067E-2</v>
      </c>
      <c r="K12" s="113">
        <f t="shared" si="12"/>
        <v>4.5985213941141211E-2</v>
      </c>
      <c r="L12" s="113">
        <f t="shared" si="12"/>
        <v>5.4094082233892664E-2</v>
      </c>
      <c r="M12" s="113">
        <f t="shared" si="12"/>
        <v>5.2539993129098267E-2</v>
      </c>
      <c r="N12" s="113">
        <f t="shared" si="12"/>
        <v>4.4922598853949884E-2</v>
      </c>
      <c r="O12" s="113">
        <f t="shared" si="12"/>
        <v>3.498764939416666E-2</v>
      </c>
      <c r="P12" s="113">
        <f t="shared" si="12"/>
        <v>1.9445483501660601E-2</v>
      </c>
      <c r="Q12" s="113">
        <f t="shared" si="12"/>
        <v>1.5591408138919191E-2</v>
      </c>
      <c r="R12" s="113" t="e">
        <f t="shared" si="12"/>
        <v>#DIV/0!</v>
      </c>
      <c r="S12" s="113">
        <f t="shared" si="12"/>
        <v>1.3813931549059365E-2</v>
      </c>
      <c r="T12" s="113">
        <f t="shared" si="12"/>
        <v>1.5718238691049085E-2</v>
      </c>
      <c r="U12" s="113">
        <f t="shared" si="12"/>
        <v>2.6935758045931114E-2</v>
      </c>
      <c r="V12" s="113">
        <f t="shared" si="12"/>
        <v>1.8041984837288229E-2</v>
      </c>
      <c r="W12" s="113">
        <f t="shared" si="12"/>
        <v>3.5202498119457137E-2</v>
      </c>
      <c r="X12" s="113">
        <f t="shared" si="12"/>
        <v>2.3698787303075539E-2</v>
      </c>
      <c r="Y12" s="113">
        <f t="shared" si="12"/>
        <v>2.2780634311718596E-2</v>
      </c>
      <c r="Z12" s="113">
        <f t="shared" si="12"/>
        <v>2.9872165384793436E-2</v>
      </c>
      <c r="AA12" s="137">
        <f t="shared" si="12"/>
        <v>2.0663508281483865E-2</v>
      </c>
      <c r="AB12" s="136">
        <f t="shared" si="12"/>
        <v>2.4229457364341084E-2</v>
      </c>
      <c r="AC12" s="113">
        <f t="shared" si="12"/>
        <v>1.9718113069144384E-2</v>
      </c>
      <c r="AD12" s="113">
        <f t="shared" ref="AD12" si="13">AD11/AD7</f>
        <v>1.8606132290055501E-2</v>
      </c>
      <c r="AE12" s="187">
        <f t="shared" ref="AE12:AN12" si="14">AE11/AE7</f>
        <v>6.294365121907639E-3</v>
      </c>
      <c r="AF12" s="195">
        <f t="shared" si="14"/>
        <v>3.6749916477462549E-3</v>
      </c>
      <c r="AG12" s="187">
        <f t="shared" si="14"/>
        <v>-4.0861547258821566E-2</v>
      </c>
      <c r="AH12" s="188">
        <f t="shared" si="14"/>
        <v>-3.4902548322729321E-2</v>
      </c>
      <c r="AI12" s="187">
        <f t="shared" si="14"/>
        <v>-1.5106152572140978E-2</v>
      </c>
      <c r="AJ12" s="188">
        <f t="shared" si="14"/>
        <v>-1.0356968662358249E-2</v>
      </c>
      <c r="AK12" s="187">
        <f t="shared" si="14"/>
        <v>-4.2911153119092625E-2</v>
      </c>
      <c r="AL12" s="195">
        <f t="shared" si="14"/>
        <v>-3.1959578742314483E-2</v>
      </c>
      <c r="AM12" s="187">
        <f t="shared" si="14"/>
        <v>-4.1682416087087996E-2</v>
      </c>
      <c r="AN12" s="195">
        <f t="shared" si="14"/>
        <v>-2.998618291338705E-2</v>
      </c>
      <c r="AO12" s="187">
        <f t="shared" ref="AO12:BJ12" si="15">AO11/AO7</f>
        <v>-4.6107970982242202E-2</v>
      </c>
      <c r="AP12" s="195">
        <f t="shared" si="15"/>
        <v>-3.6952944627983215E-2</v>
      </c>
      <c r="AQ12" s="187">
        <f t="shared" si="15"/>
        <v>-2.0611854286724782E-2</v>
      </c>
      <c r="AR12" s="195">
        <f t="shared" si="15"/>
        <v>-1.5734749184226536E-2</v>
      </c>
      <c r="AS12" s="187">
        <f t="shared" si="15"/>
        <v>-1.0098005528516992E-2</v>
      </c>
      <c r="AT12" s="195">
        <f t="shared" si="15"/>
        <v>-7.8462142016477044E-3</v>
      </c>
      <c r="AU12" s="187">
        <f t="shared" si="15"/>
        <v>4.2585379218334938E-3</v>
      </c>
      <c r="AV12" s="195">
        <f t="shared" si="15"/>
        <v>3.4184056059783311E-3</v>
      </c>
      <c r="AW12" s="187">
        <f t="shared" si="15"/>
        <v>1.1413157618397564E-2</v>
      </c>
      <c r="AX12" s="195">
        <f t="shared" si="15"/>
        <v>4.7644132279777585E-3</v>
      </c>
      <c r="AY12" s="187">
        <f t="shared" si="15"/>
        <v>1.5368566829434988E-2</v>
      </c>
      <c r="AZ12" s="195">
        <f t="shared" si="15"/>
        <v>5.3414988108896671E-3</v>
      </c>
      <c r="BA12" s="187">
        <f t="shared" si="15"/>
        <v>1.8764322228098009E-2</v>
      </c>
      <c r="BB12" s="195">
        <f t="shared" si="15"/>
        <v>1.7727450214759858E-2</v>
      </c>
      <c r="BC12" s="187">
        <f t="shared" si="15"/>
        <v>6.1988295284219723E-3</v>
      </c>
      <c r="BD12" s="202">
        <f t="shared" si="15"/>
        <v>3.4724231726373056E-3</v>
      </c>
      <c r="BE12" s="194">
        <f t="shared" si="15"/>
        <v>1.0678594720650334E-2</v>
      </c>
      <c r="BF12" s="195">
        <f t="shared" si="15"/>
        <v>1.4712703895919626E-2</v>
      </c>
      <c r="BG12" s="187">
        <f t="shared" si="15"/>
        <v>3.3129732137176307E-2</v>
      </c>
      <c r="BH12" s="188">
        <f t="shared" si="15"/>
        <v>3.2963802805072648E-2</v>
      </c>
      <c r="BI12" s="187">
        <f t="shared" si="15"/>
        <v>2.7789753329527048E-2</v>
      </c>
      <c r="BJ12" s="188">
        <f t="shared" si="15"/>
        <v>3.2283164316926377E-2</v>
      </c>
      <c r="BK12" s="187">
        <f t="shared" ref="BK12:BL12" si="16">BK11/BK7</f>
        <v>5.0755525902862718E-2</v>
      </c>
      <c r="BL12" s="188">
        <f t="shared" si="16"/>
        <v>4.965994070761056E-2</v>
      </c>
      <c r="BM12" s="113">
        <f t="shared" ref="BM12:BN12" si="17">BM11/BM7</f>
        <v>8.6614399852639815E-2</v>
      </c>
      <c r="BN12" s="212">
        <f t="shared" si="17"/>
        <v>8.3465141744737806E-2</v>
      </c>
      <c r="BO12" s="113">
        <f t="shared" ref="BO12:BP12" si="18">BO11/BO7</f>
        <v>7.8705693852827385E-2</v>
      </c>
      <c r="BP12" s="150">
        <f t="shared" si="18"/>
        <v>7.5870680528787426E-2</v>
      </c>
    </row>
    <row r="13" spans="1:68" ht="24" customHeight="1">
      <c r="A13" s="122" t="s">
        <v>150</v>
      </c>
      <c r="B13" s="132">
        <v>878</v>
      </c>
      <c r="C13" s="105">
        <v>979</v>
      </c>
      <c r="D13" s="105">
        <v>897</v>
      </c>
      <c r="E13" s="105">
        <v>1200</v>
      </c>
      <c r="F13" s="105">
        <v>1498</v>
      </c>
      <c r="G13" s="105">
        <v>1722</v>
      </c>
      <c r="H13" s="105">
        <v>2133</v>
      </c>
      <c r="I13" s="105">
        <v>2022</v>
      </c>
      <c r="J13" s="105">
        <v>1811</v>
      </c>
      <c r="K13" s="105">
        <v>2075</v>
      </c>
      <c r="L13" s="105">
        <v>2892</v>
      </c>
      <c r="M13" s="105">
        <v>3276</v>
      </c>
      <c r="N13" s="105">
        <v>3953</v>
      </c>
      <c r="O13" s="105">
        <v>3566</v>
      </c>
      <c r="P13" s="105">
        <v>3516</v>
      </c>
      <c r="Q13" s="105">
        <v>3899</v>
      </c>
      <c r="R13" s="105"/>
      <c r="S13" s="105">
        <v>3984</v>
      </c>
      <c r="T13" s="105">
        <v>4070</v>
      </c>
      <c r="U13" s="105">
        <v>3284</v>
      </c>
      <c r="V13" s="105">
        <v>4896</v>
      </c>
      <c r="W13" s="105">
        <v>3475</v>
      </c>
      <c r="X13" s="105">
        <v>3151</v>
      </c>
      <c r="Y13" s="105">
        <v>2774</v>
      </c>
      <c r="Z13" s="105">
        <v>2286</v>
      </c>
      <c r="AA13" s="133">
        <v>2607</v>
      </c>
      <c r="AB13" s="132">
        <v>2286</v>
      </c>
      <c r="AC13" s="105">
        <v>2237</v>
      </c>
      <c r="AD13" s="105">
        <v>2227</v>
      </c>
      <c r="AE13" s="183">
        <v>1399</v>
      </c>
      <c r="AF13" s="184">
        <v>1277</v>
      </c>
      <c r="AG13" s="183">
        <v>1477</v>
      </c>
      <c r="AH13" s="184">
        <v>1293</v>
      </c>
      <c r="AI13" s="183">
        <v>1314</v>
      </c>
      <c r="AJ13" s="184">
        <v>1161</v>
      </c>
      <c r="AK13" s="183">
        <v>1289</v>
      </c>
      <c r="AL13" s="184">
        <v>1067</v>
      </c>
      <c r="AM13" s="198">
        <v>1401</v>
      </c>
      <c r="AN13" s="184">
        <v>1237</v>
      </c>
      <c r="AO13" s="183">
        <v>1538</v>
      </c>
      <c r="AP13" s="184">
        <v>1178</v>
      </c>
      <c r="AQ13" s="198">
        <v>1514</v>
      </c>
      <c r="AR13" s="184">
        <v>1138</v>
      </c>
      <c r="AS13" s="183">
        <v>2046</v>
      </c>
      <c r="AT13" s="184">
        <v>1737</v>
      </c>
      <c r="AU13" s="198">
        <v>1580</v>
      </c>
      <c r="AV13" s="184">
        <v>1293</v>
      </c>
      <c r="AW13" s="183">
        <v>1302</v>
      </c>
      <c r="AX13" s="184">
        <v>933</v>
      </c>
      <c r="AY13" s="198">
        <v>1263</v>
      </c>
      <c r="AZ13" s="184">
        <v>897</v>
      </c>
      <c r="BA13" s="183">
        <v>1105</v>
      </c>
      <c r="BB13" s="184">
        <v>800</v>
      </c>
      <c r="BC13" s="198">
        <v>1008</v>
      </c>
      <c r="BD13" s="199">
        <v>700</v>
      </c>
      <c r="BE13" s="192">
        <v>1387</v>
      </c>
      <c r="BF13" s="184">
        <v>852</v>
      </c>
      <c r="BG13" s="183">
        <v>1786</v>
      </c>
      <c r="BH13" s="184">
        <v>1146</v>
      </c>
      <c r="BI13" s="183">
        <v>2035</v>
      </c>
      <c r="BJ13" s="184">
        <v>1157</v>
      </c>
      <c r="BK13" s="183">
        <v>2477</v>
      </c>
      <c r="BL13" s="184">
        <v>1144</v>
      </c>
      <c r="BM13" s="105">
        <v>2280</v>
      </c>
      <c r="BN13" s="105">
        <f>79+755+129</f>
        <v>963</v>
      </c>
      <c r="BO13" s="105">
        <v>2525.2527759999998</v>
      </c>
      <c r="BP13" s="133">
        <f>75+837+142</f>
        <v>1054</v>
      </c>
    </row>
    <row r="14" spans="1:68" ht="24" customHeight="1">
      <c r="A14" s="122" t="s">
        <v>530</v>
      </c>
      <c r="B14" s="138" t="s">
        <v>206</v>
      </c>
      <c r="C14" s="114" t="s">
        <v>206</v>
      </c>
      <c r="D14" s="114" t="s">
        <v>206</v>
      </c>
      <c r="E14" s="114" t="s">
        <v>206</v>
      </c>
      <c r="F14" s="114" t="s">
        <v>206</v>
      </c>
      <c r="G14" s="114" t="s">
        <v>206</v>
      </c>
      <c r="H14" s="114" t="s">
        <v>206</v>
      </c>
      <c r="I14" s="114" t="s">
        <v>206</v>
      </c>
      <c r="J14" s="114" t="s">
        <v>206</v>
      </c>
      <c r="K14" s="114" t="s">
        <v>206</v>
      </c>
      <c r="L14" s="114" t="s">
        <v>206</v>
      </c>
      <c r="M14" s="114" t="s">
        <v>206</v>
      </c>
      <c r="N14" s="114" t="s">
        <v>206</v>
      </c>
      <c r="O14" s="114" t="s">
        <v>206</v>
      </c>
      <c r="P14" s="114" t="s">
        <v>206</v>
      </c>
      <c r="Q14" s="114" t="s">
        <v>206</v>
      </c>
      <c r="R14" s="114" t="s">
        <v>206</v>
      </c>
      <c r="S14" s="114" t="s">
        <v>206</v>
      </c>
      <c r="T14" s="114" t="s">
        <v>206</v>
      </c>
      <c r="U14" s="114" t="s">
        <v>206</v>
      </c>
      <c r="V14" s="114" t="s">
        <v>206</v>
      </c>
      <c r="W14" s="114" t="s">
        <v>206</v>
      </c>
      <c r="X14" s="114" t="s">
        <v>206</v>
      </c>
      <c r="Y14" s="114" t="s">
        <v>206</v>
      </c>
      <c r="Z14" s="114" t="s">
        <v>206</v>
      </c>
      <c r="AA14" s="139" t="s">
        <v>206</v>
      </c>
      <c r="AB14" s="138" t="s">
        <v>206</v>
      </c>
      <c r="AC14" s="114" t="s">
        <v>206</v>
      </c>
      <c r="AD14" s="114" t="s">
        <v>206</v>
      </c>
      <c r="AE14" s="189" t="s">
        <v>206</v>
      </c>
      <c r="AF14" s="184"/>
      <c r="AG14" s="189" t="s">
        <v>206</v>
      </c>
      <c r="AH14" s="184"/>
      <c r="AI14" s="189" t="s">
        <v>206</v>
      </c>
      <c r="AJ14" s="184"/>
      <c r="AK14" s="189" t="s">
        <v>206</v>
      </c>
      <c r="AL14" s="184"/>
      <c r="AM14" s="106" t="s">
        <v>206</v>
      </c>
      <c r="AN14" s="184"/>
      <c r="AO14" s="189" t="s">
        <v>206</v>
      </c>
      <c r="AP14" s="184"/>
      <c r="AQ14" s="106" t="s">
        <v>206</v>
      </c>
      <c r="AR14" s="184"/>
      <c r="AS14" s="189" t="s">
        <v>206</v>
      </c>
      <c r="AT14" s="184"/>
      <c r="AU14" s="106" t="s">
        <v>206</v>
      </c>
      <c r="AV14" s="184"/>
      <c r="AW14" s="189" t="s">
        <v>206</v>
      </c>
      <c r="AX14" s="184">
        <v>473</v>
      </c>
      <c r="AY14" s="106" t="s">
        <v>206</v>
      </c>
      <c r="AZ14" s="184">
        <v>442</v>
      </c>
      <c r="BA14" s="189" t="s">
        <v>206</v>
      </c>
      <c r="BB14" s="184">
        <v>547</v>
      </c>
      <c r="BC14" s="189" t="s">
        <v>206</v>
      </c>
      <c r="BD14" s="199">
        <v>712</v>
      </c>
      <c r="BE14" s="196" t="s">
        <v>206</v>
      </c>
      <c r="BF14" s="184">
        <v>1234</v>
      </c>
      <c r="BG14" s="189" t="s">
        <v>206</v>
      </c>
      <c r="BH14" s="184">
        <v>1440</v>
      </c>
      <c r="BI14" s="189" t="s">
        <v>206</v>
      </c>
      <c r="BJ14" s="184">
        <v>2017</v>
      </c>
      <c r="BK14" s="189" t="s">
        <v>206</v>
      </c>
      <c r="BL14" s="184">
        <v>2030</v>
      </c>
      <c r="BM14" s="114" t="s">
        <v>206</v>
      </c>
      <c r="BN14" s="105">
        <v>2006</v>
      </c>
      <c r="BO14" s="114" t="s">
        <v>206</v>
      </c>
      <c r="BP14" s="133">
        <v>1318</v>
      </c>
    </row>
    <row r="15" spans="1:68" ht="24" customHeight="1">
      <c r="A15" s="122" t="s">
        <v>155</v>
      </c>
      <c r="B15" s="132">
        <v>542</v>
      </c>
      <c r="C15" s="105">
        <v>516</v>
      </c>
      <c r="D15" s="105">
        <v>915</v>
      </c>
      <c r="E15" s="105">
        <v>1369</v>
      </c>
      <c r="F15" s="105">
        <v>893</v>
      </c>
      <c r="G15" s="105">
        <v>822</v>
      </c>
      <c r="H15" s="105">
        <v>856</v>
      </c>
      <c r="I15" s="105">
        <v>882</v>
      </c>
      <c r="J15" s="105">
        <v>880</v>
      </c>
      <c r="K15" s="105">
        <v>847</v>
      </c>
      <c r="L15" s="105">
        <v>714</v>
      </c>
      <c r="M15" s="105">
        <v>1132</v>
      </c>
      <c r="N15" s="105">
        <v>1176</v>
      </c>
      <c r="O15" s="105">
        <v>854</v>
      </c>
      <c r="P15" s="105">
        <v>1810</v>
      </c>
      <c r="Q15" s="105">
        <v>1015</v>
      </c>
      <c r="R15" s="105"/>
      <c r="S15" s="105">
        <v>735</v>
      </c>
      <c r="T15" s="105">
        <v>777</v>
      </c>
      <c r="U15" s="105">
        <v>1456</v>
      </c>
      <c r="V15" s="105">
        <v>2261</v>
      </c>
      <c r="W15" s="105">
        <v>2200</v>
      </c>
      <c r="X15" s="105">
        <v>2419</v>
      </c>
      <c r="Y15" s="105">
        <v>2411</v>
      </c>
      <c r="Z15" s="105">
        <v>2941</v>
      </c>
      <c r="AA15" s="133">
        <v>2265</v>
      </c>
      <c r="AB15" s="132">
        <v>2778</v>
      </c>
      <c r="AC15" s="105">
        <v>3598</v>
      </c>
      <c r="AD15" s="105">
        <v>2758</v>
      </c>
      <c r="AE15" s="183">
        <v>1640</v>
      </c>
      <c r="AF15" s="184">
        <v>1862</v>
      </c>
      <c r="AG15" s="183">
        <v>1502</v>
      </c>
      <c r="AH15" s="184">
        <v>1756</v>
      </c>
      <c r="AI15" s="183">
        <v>1282</v>
      </c>
      <c r="AJ15" s="184">
        <v>1505</v>
      </c>
      <c r="AK15" s="183">
        <v>961</v>
      </c>
      <c r="AL15" s="184">
        <v>1130</v>
      </c>
      <c r="AM15" s="198">
        <v>830</v>
      </c>
      <c r="AN15" s="184">
        <v>1180</v>
      </c>
      <c r="AO15" s="183">
        <v>1087</v>
      </c>
      <c r="AP15" s="184">
        <v>1321</v>
      </c>
      <c r="AQ15" s="198">
        <v>1299</v>
      </c>
      <c r="AR15" s="184">
        <v>1950</v>
      </c>
      <c r="AS15" s="183">
        <v>1384</v>
      </c>
      <c r="AT15" s="184">
        <v>2035</v>
      </c>
      <c r="AU15" s="198">
        <v>1835</v>
      </c>
      <c r="AV15" s="184">
        <v>2026</v>
      </c>
      <c r="AW15" s="183">
        <v>1224</v>
      </c>
      <c r="AX15" s="184">
        <v>1502</v>
      </c>
      <c r="AY15" s="198">
        <v>2062</v>
      </c>
      <c r="AZ15" s="184">
        <v>2253</v>
      </c>
      <c r="BA15" s="183">
        <v>1999</v>
      </c>
      <c r="BB15" s="184">
        <v>2164</v>
      </c>
      <c r="BC15" s="198">
        <v>1588</v>
      </c>
      <c r="BD15" s="199">
        <v>1754</v>
      </c>
      <c r="BE15" s="192">
        <v>885</v>
      </c>
      <c r="BF15" s="184">
        <v>957</v>
      </c>
      <c r="BG15" s="183">
        <v>830</v>
      </c>
      <c r="BH15" s="184">
        <v>905</v>
      </c>
      <c r="BI15" s="183">
        <v>833</v>
      </c>
      <c r="BJ15" s="184">
        <v>1041</v>
      </c>
      <c r="BK15" s="183">
        <v>971</v>
      </c>
      <c r="BL15" s="184">
        <v>1185</v>
      </c>
      <c r="BM15" s="105">
        <v>629</v>
      </c>
      <c r="BN15" s="105">
        <v>1567</v>
      </c>
      <c r="BO15" s="105">
        <v>430</v>
      </c>
      <c r="BP15" s="133">
        <v>1370</v>
      </c>
    </row>
    <row r="16" spans="1:68" ht="24" customHeight="1">
      <c r="A16" s="122" t="s">
        <v>531</v>
      </c>
      <c r="B16" s="138" t="s">
        <v>206</v>
      </c>
      <c r="C16" s="114" t="s">
        <v>206</v>
      </c>
      <c r="D16" s="114" t="s">
        <v>206</v>
      </c>
      <c r="E16" s="114" t="s">
        <v>206</v>
      </c>
      <c r="F16" s="114" t="s">
        <v>206</v>
      </c>
      <c r="G16" s="114" t="s">
        <v>206</v>
      </c>
      <c r="H16" s="114" t="s">
        <v>206</v>
      </c>
      <c r="I16" s="114" t="s">
        <v>206</v>
      </c>
      <c r="J16" s="114" t="s">
        <v>206</v>
      </c>
      <c r="K16" s="114" t="s">
        <v>206</v>
      </c>
      <c r="L16" s="114" t="s">
        <v>206</v>
      </c>
      <c r="M16" s="114" t="s">
        <v>206</v>
      </c>
      <c r="N16" s="114" t="s">
        <v>206</v>
      </c>
      <c r="O16" s="114" t="s">
        <v>206</v>
      </c>
      <c r="P16" s="114" t="s">
        <v>206</v>
      </c>
      <c r="Q16" s="114" t="s">
        <v>206</v>
      </c>
      <c r="R16" s="114" t="s">
        <v>206</v>
      </c>
      <c r="S16" s="114" t="s">
        <v>206</v>
      </c>
      <c r="T16" s="114" t="s">
        <v>206</v>
      </c>
      <c r="U16" s="114" t="s">
        <v>206</v>
      </c>
      <c r="V16" s="114" t="s">
        <v>206</v>
      </c>
      <c r="W16" s="114" t="s">
        <v>206</v>
      </c>
      <c r="X16" s="114" t="s">
        <v>206</v>
      </c>
      <c r="Y16" s="114" t="s">
        <v>206</v>
      </c>
      <c r="Z16" s="114" t="s">
        <v>206</v>
      </c>
      <c r="AA16" s="139" t="s">
        <v>206</v>
      </c>
      <c r="AB16" s="138" t="s">
        <v>206</v>
      </c>
      <c r="AC16" s="114" t="s">
        <v>206</v>
      </c>
      <c r="AD16" s="114" t="s">
        <v>206</v>
      </c>
      <c r="AE16" s="189" t="s">
        <v>206</v>
      </c>
      <c r="AF16" s="115"/>
      <c r="AG16" s="189" t="s">
        <v>206</v>
      </c>
      <c r="AH16" s="115"/>
      <c r="AI16" s="189" t="s">
        <v>206</v>
      </c>
      <c r="AJ16" s="115"/>
      <c r="AK16" s="189" t="s">
        <v>206</v>
      </c>
      <c r="AL16" s="115"/>
      <c r="AM16" s="106" t="s">
        <v>206</v>
      </c>
      <c r="AN16" s="115"/>
      <c r="AO16" s="189" t="s">
        <v>206</v>
      </c>
      <c r="AP16" s="115"/>
      <c r="AQ16" s="106" t="s">
        <v>206</v>
      </c>
      <c r="AR16" s="115"/>
      <c r="AS16" s="189" t="s">
        <v>206</v>
      </c>
      <c r="AT16" s="115" t="s">
        <v>206</v>
      </c>
      <c r="AU16" s="106" t="s">
        <v>206</v>
      </c>
      <c r="AV16" s="115">
        <v>511</v>
      </c>
      <c r="AW16" s="189" t="s">
        <v>206</v>
      </c>
      <c r="AX16" s="115" t="s">
        <v>206</v>
      </c>
      <c r="AY16" s="106" t="s">
        <v>206</v>
      </c>
      <c r="AZ16" s="115" t="s">
        <v>206</v>
      </c>
      <c r="BA16" s="189" t="s">
        <v>206</v>
      </c>
      <c r="BB16" s="115" t="s">
        <v>206</v>
      </c>
      <c r="BC16" s="115" t="s">
        <v>206</v>
      </c>
      <c r="BD16" s="151" t="s">
        <v>206</v>
      </c>
      <c r="BE16" s="154" t="s">
        <v>206</v>
      </c>
      <c r="BF16" s="115" t="s">
        <v>206</v>
      </c>
      <c r="BG16" s="115" t="s">
        <v>206</v>
      </c>
      <c r="BH16" s="115" t="s">
        <v>206</v>
      </c>
      <c r="BI16" s="115" t="s">
        <v>206</v>
      </c>
      <c r="BJ16" s="115" t="s">
        <v>206</v>
      </c>
      <c r="BK16" s="115" t="s">
        <v>206</v>
      </c>
      <c r="BL16" s="115" t="s">
        <v>206</v>
      </c>
      <c r="BM16" s="115" t="s">
        <v>206</v>
      </c>
      <c r="BN16" s="189" t="s">
        <v>206</v>
      </c>
      <c r="BO16" s="115" t="s">
        <v>206</v>
      </c>
      <c r="BP16" s="151" t="s">
        <v>206</v>
      </c>
    </row>
    <row r="17" spans="1:68" ht="24" customHeight="1">
      <c r="A17" s="123" t="s">
        <v>159</v>
      </c>
      <c r="B17" s="140">
        <f t="shared" ref="B17:D17" si="19">B13-B15</f>
        <v>336</v>
      </c>
      <c r="C17" s="107">
        <f t="shared" si="19"/>
        <v>463</v>
      </c>
      <c r="D17" s="107">
        <f t="shared" si="19"/>
        <v>-18</v>
      </c>
      <c r="E17" s="107">
        <f t="shared" ref="E17:AD17" si="20">E13-E15</f>
        <v>-169</v>
      </c>
      <c r="F17" s="107">
        <f t="shared" si="20"/>
        <v>605</v>
      </c>
      <c r="G17" s="107">
        <f t="shared" si="20"/>
        <v>900</v>
      </c>
      <c r="H17" s="107">
        <f t="shared" si="20"/>
        <v>1277</v>
      </c>
      <c r="I17" s="107">
        <f t="shared" si="20"/>
        <v>1140</v>
      </c>
      <c r="J17" s="107">
        <f t="shared" si="20"/>
        <v>931</v>
      </c>
      <c r="K17" s="107">
        <f t="shared" si="20"/>
        <v>1228</v>
      </c>
      <c r="L17" s="107">
        <f t="shared" si="20"/>
        <v>2178</v>
      </c>
      <c r="M17" s="107">
        <f t="shared" si="20"/>
        <v>2144</v>
      </c>
      <c r="N17" s="107">
        <f t="shared" si="20"/>
        <v>2777</v>
      </c>
      <c r="O17" s="107">
        <f t="shared" si="20"/>
        <v>2712</v>
      </c>
      <c r="P17" s="107">
        <f t="shared" si="20"/>
        <v>1706</v>
      </c>
      <c r="Q17" s="107">
        <f t="shared" si="20"/>
        <v>2884</v>
      </c>
      <c r="R17" s="107">
        <f t="shared" si="20"/>
        <v>0</v>
      </c>
      <c r="S17" s="107">
        <f t="shared" si="20"/>
        <v>3249</v>
      </c>
      <c r="T17" s="107">
        <f t="shared" si="20"/>
        <v>3293</v>
      </c>
      <c r="U17" s="107">
        <f t="shared" si="20"/>
        <v>1828</v>
      </c>
      <c r="V17" s="107">
        <f t="shared" si="20"/>
        <v>2635</v>
      </c>
      <c r="W17" s="107">
        <f t="shared" si="20"/>
        <v>1275</v>
      </c>
      <c r="X17" s="107">
        <f t="shared" si="20"/>
        <v>732</v>
      </c>
      <c r="Y17" s="107">
        <f t="shared" si="20"/>
        <v>363</v>
      </c>
      <c r="Z17" s="107">
        <f t="shared" si="20"/>
        <v>-655</v>
      </c>
      <c r="AA17" s="141">
        <f t="shared" si="20"/>
        <v>342</v>
      </c>
      <c r="AB17" s="140">
        <f t="shared" si="20"/>
        <v>-492</v>
      </c>
      <c r="AC17" s="107">
        <f t="shared" si="20"/>
        <v>-1361</v>
      </c>
      <c r="AD17" s="107">
        <f t="shared" si="20"/>
        <v>-531</v>
      </c>
      <c r="AE17" s="107">
        <f t="shared" ref="AE17:AO17" si="21">AE13-AE15</f>
        <v>-241</v>
      </c>
      <c r="AF17" s="108">
        <f>AF13+AF14-AF15</f>
        <v>-585</v>
      </c>
      <c r="AG17" s="107">
        <f t="shared" si="21"/>
        <v>-25</v>
      </c>
      <c r="AH17" s="108">
        <f>AH13+AH14-AH15</f>
        <v>-463</v>
      </c>
      <c r="AI17" s="107">
        <f t="shared" si="21"/>
        <v>32</v>
      </c>
      <c r="AJ17" s="108">
        <f>AJ13+AJ14-AJ15</f>
        <v>-344</v>
      </c>
      <c r="AK17" s="107">
        <f t="shared" si="21"/>
        <v>328</v>
      </c>
      <c r="AL17" s="108">
        <f>AL13+AL14-AL15</f>
        <v>-63</v>
      </c>
      <c r="AM17" s="107">
        <f t="shared" si="21"/>
        <v>571</v>
      </c>
      <c r="AN17" s="108">
        <f>AN13+AN14-AN15</f>
        <v>57</v>
      </c>
      <c r="AO17" s="107">
        <f t="shared" si="21"/>
        <v>451</v>
      </c>
      <c r="AP17" s="108">
        <f>AP13+AP14-AP15</f>
        <v>-143</v>
      </c>
      <c r="AQ17" s="107">
        <f t="shared" ref="AQ17:AU17" si="22">AQ13-AQ15</f>
        <v>215</v>
      </c>
      <c r="AR17" s="108">
        <f>AR13+AR14-AR15</f>
        <v>-812</v>
      </c>
      <c r="AS17" s="107">
        <f t="shared" si="22"/>
        <v>662</v>
      </c>
      <c r="AT17" s="108">
        <f>AT13+AT14-AT15</f>
        <v>-298</v>
      </c>
      <c r="AU17" s="107">
        <f t="shared" si="22"/>
        <v>-255</v>
      </c>
      <c r="AV17" s="108">
        <f>AV13+AV14-AV15-AV16</f>
        <v>-1244</v>
      </c>
      <c r="AW17" s="107">
        <f t="shared" ref="AW17" si="23">AW13-AW15</f>
        <v>78</v>
      </c>
      <c r="AX17" s="108">
        <f>AX13+AX14-AX15</f>
        <v>-96</v>
      </c>
      <c r="AY17" s="107">
        <f t="shared" ref="AY17:BC17" si="24">AY13-AY15</f>
        <v>-799</v>
      </c>
      <c r="AZ17" s="108">
        <f>AZ13+AZ14-AZ15</f>
        <v>-914</v>
      </c>
      <c r="BA17" s="107">
        <f t="shared" si="24"/>
        <v>-894</v>
      </c>
      <c r="BB17" s="108">
        <f>BB13+BB14-BB15</f>
        <v>-817</v>
      </c>
      <c r="BC17" s="107">
        <f t="shared" si="24"/>
        <v>-580</v>
      </c>
      <c r="BD17" s="141">
        <f>BD13+BD14-BD15</f>
        <v>-342</v>
      </c>
      <c r="BE17" s="140">
        <f t="shared" ref="BE17:BG17" si="25">BE13-BE15</f>
        <v>502</v>
      </c>
      <c r="BF17" s="108">
        <f>BF13+BF14-BF15</f>
        <v>1129</v>
      </c>
      <c r="BG17" s="107">
        <f t="shared" si="25"/>
        <v>956</v>
      </c>
      <c r="BH17" s="108">
        <f>BH13+BH14-BH15</f>
        <v>1681</v>
      </c>
      <c r="BI17" s="107">
        <f t="shared" ref="BI17:BK17" si="26">BI13-BI15</f>
        <v>1202</v>
      </c>
      <c r="BJ17" s="108">
        <f>BJ13+BJ14-BJ15</f>
        <v>2133</v>
      </c>
      <c r="BK17" s="107">
        <f t="shared" si="26"/>
        <v>1506</v>
      </c>
      <c r="BL17" s="108">
        <f>BL13+BL14-BL15</f>
        <v>1989</v>
      </c>
      <c r="BM17" s="107">
        <f t="shared" ref="BM17" si="27">BM13-BM15</f>
        <v>1651</v>
      </c>
      <c r="BN17" s="107">
        <f>BN13+BN14-BN15</f>
        <v>1402</v>
      </c>
      <c r="BO17" s="107">
        <f>BO13-BO15-1</f>
        <v>2094.2527759999998</v>
      </c>
      <c r="BP17" s="141">
        <f>BP13+BP14-BP15</f>
        <v>1002</v>
      </c>
    </row>
    <row r="18" spans="1:68" ht="24" customHeight="1">
      <c r="A18" s="120" t="s">
        <v>160</v>
      </c>
      <c r="B18" s="134">
        <f t="shared" ref="B18:D18" si="28">B11+B13-B15</f>
        <v>2543</v>
      </c>
      <c r="C18" s="112">
        <f t="shared" si="28"/>
        <v>1472</v>
      </c>
      <c r="D18" s="112">
        <f t="shared" si="28"/>
        <v>1600</v>
      </c>
      <c r="E18" s="112">
        <f t="shared" ref="E18:AD18" si="29">E11+E13-E15</f>
        <v>2835</v>
      </c>
      <c r="F18" s="112">
        <f t="shared" si="29"/>
        <v>4068</v>
      </c>
      <c r="G18" s="112">
        <f t="shared" si="29"/>
        <v>4072</v>
      </c>
      <c r="H18" s="112">
        <f t="shared" si="29"/>
        <v>4571</v>
      </c>
      <c r="I18" s="112">
        <f t="shared" si="29"/>
        <v>5278</v>
      </c>
      <c r="J18" s="112">
        <f t="shared" si="29"/>
        <v>5593</v>
      </c>
      <c r="K18" s="112">
        <f t="shared" si="29"/>
        <v>6061</v>
      </c>
      <c r="L18" s="112">
        <f t="shared" si="29"/>
        <v>8935</v>
      </c>
      <c r="M18" s="112">
        <f t="shared" si="29"/>
        <v>9179</v>
      </c>
      <c r="N18" s="112">
        <f>N11+N13-N15+1</f>
        <v>9081</v>
      </c>
      <c r="O18" s="112">
        <f t="shared" si="29"/>
        <v>7797</v>
      </c>
      <c r="P18" s="112">
        <f t="shared" si="29"/>
        <v>5137</v>
      </c>
      <c r="Q18" s="112">
        <f t="shared" si="29"/>
        <v>5328</v>
      </c>
      <c r="R18" s="112">
        <f t="shared" si="29"/>
        <v>0</v>
      </c>
      <c r="S18" s="112">
        <f t="shared" si="29"/>
        <v>5504</v>
      </c>
      <c r="T18" s="112">
        <f t="shared" si="29"/>
        <v>5906</v>
      </c>
      <c r="U18" s="112">
        <f t="shared" si="29"/>
        <v>6550</v>
      </c>
      <c r="V18" s="112">
        <f t="shared" si="29"/>
        <v>5931</v>
      </c>
      <c r="W18" s="112">
        <f t="shared" si="29"/>
        <v>6844</v>
      </c>
      <c r="X18" s="112">
        <f t="shared" si="29"/>
        <v>4574</v>
      </c>
      <c r="Y18" s="112">
        <f>Y11+Y13-Y15-1</f>
        <v>4602</v>
      </c>
      <c r="Z18" s="112">
        <f t="shared" si="29"/>
        <v>3862</v>
      </c>
      <c r="AA18" s="135">
        <f t="shared" si="29"/>
        <v>3683</v>
      </c>
      <c r="AB18" s="134">
        <f>AB11+AB13-AB15-1</f>
        <v>3414</v>
      </c>
      <c r="AC18" s="112">
        <f t="shared" si="29"/>
        <v>2026</v>
      </c>
      <c r="AD18" s="112">
        <f t="shared" si="29"/>
        <v>2332</v>
      </c>
      <c r="AE18" s="185">
        <f>AE11+AE13-AE15</f>
        <v>534</v>
      </c>
      <c r="AF18" s="186">
        <f>AF11+AF13+AF14-AF15+1</f>
        <v>-45</v>
      </c>
      <c r="AG18" s="185">
        <f>AG11+AG13-AG15</f>
        <v>-5170</v>
      </c>
      <c r="AH18" s="186">
        <f>AH11+AH13+AH14-AH15</f>
        <v>-5658</v>
      </c>
      <c r="AI18" s="185">
        <f>AI11+AI13-AI15</f>
        <v>-1628</v>
      </c>
      <c r="AJ18" s="186">
        <f>AJ11+AJ13+AJ14-AJ15</f>
        <v>-1703</v>
      </c>
      <c r="AK18" s="185">
        <f>AK11+AK13-AK15</f>
        <v>-4439</v>
      </c>
      <c r="AL18" s="186">
        <f>AL11+AL13+AL14-AL15</f>
        <v>-4263</v>
      </c>
      <c r="AM18" s="200">
        <f>AM11+AM13-AM15</f>
        <v>-3840</v>
      </c>
      <c r="AN18" s="186">
        <f>AN11+AN13+AN14-AN15</f>
        <v>-3806</v>
      </c>
      <c r="AO18" s="185">
        <f>AO11+AO13-AO15+1</f>
        <v>-5764</v>
      </c>
      <c r="AP18" s="186">
        <f>AP11+AP13+AP14-AP15</f>
        <v>-5937</v>
      </c>
      <c r="AQ18" s="200">
        <f>AQ11+AQ13-AQ15</f>
        <v>-3748</v>
      </c>
      <c r="AR18" s="186">
        <f>AR11+AR13+AR14-AR15</f>
        <v>-4226</v>
      </c>
      <c r="AS18" s="185">
        <f>AS11+AS13-AS15</f>
        <v>-1307</v>
      </c>
      <c r="AT18" s="186">
        <f>AT11+AT13+AT14-AT15</f>
        <v>-2038</v>
      </c>
      <c r="AU18" s="200">
        <f>AU11+AU13-AU15-1</f>
        <v>459</v>
      </c>
      <c r="AV18" s="186">
        <f>AV11+AV13+AV14-AV15-AV16+1</f>
        <v>-582</v>
      </c>
      <c r="AW18" s="185">
        <f>AW11+AW13-AW15</f>
        <v>1817</v>
      </c>
      <c r="AX18" s="186">
        <f>AX11+AX13+AX14-AX15</f>
        <v>718</v>
      </c>
      <c r="AY18" s="200">
        <f>AY11+AY13-AY15</f>
        <v>910</v>
      </c>
      <c r="AZ18" s="186">
        <f>AZ11+AZ13+AZ14-AZ15+2</f>
        <v>-209</v>
      </c>
      <c r="BA18" s="185">
        <f>BA11+BA13-BA15</f>
        <v>1235</v>
      </c>
      <c r="BB18" s="186">
        <f>BB11+BB13+BB14-BB15</f>
        <v>1680</v>
      </c>
      <c r="BC18" s="200">
        <f>BC11+BC13-BC15</f>
        <v>243</v>
      </c>
      <c r="BD18" s="201">
        <f>BD11+BD13+BD14-BD15</f>
        <v>198</v>
      </c>
      <c r="BE18" s="193">
        <f>BE11+BE13-BE15</f>
        <v>2123</v>
      </c>
      <c r="BF18" s="186">
        <f>BF11+BF13+BF14-BF15-1</f>
        <v>3824</v>
      </c>
      <c r="BG18" s="185">
        <f>BG11+BG13-BG15</f>
        <v>6163</v>
      </c>
      <c r="BH18" s="186">
        <f>BH11+BH13+BH14-BH15</f>
        <v>7961</v>
      </c>
      <c r="BI18" s="185">
        <f>BI11+BI13-BI15-1</f>
        <v>5971</v>
      </c>
      <c r="BJ18" s="186">
        <f>BJ11+BJ13+BJ14-BJ15</f>
        <v>8398</v>
      </c>
      <c r="BK18" s="185">
        <f>BK11+BK13-BK15</f>
        <v>9722</v>
      </c>
      <c r="BL18" s="186">
        <f>BL11+BL13+BL14-BL15</f>
        <v>11671</v>
      </c>
      <c r="BM18" s="112">
        <f>BM11+BM13-BM15+1</f>
        <v>16699</v>
      </c>
      <c r="BN18" s="211">
        <f>BN11+BN13+BN14-BN15+1</f>
        <v>19239</v>
      </c>
      <c r="BO18" s="112">
        <f>BO11+BO13-BO15-1</f>
        <v>16192.252776000001</v>
      </c>
      <c r="BP18" s="149">
        <f>BP11+BP13+BP14-BP15+2</f>
        <v>17774</v>
      </c>
    </row>
    <row r="19" spans="1:68" ht="24" customHeight="1">
      <c r="A19" s="121" t="s">
        <v>161</v>
      </c>
      <c r="B19" s="136">
        <f t="shared" ref="B19:D19" si="30">B18/B7</f>
        <v>8.6708947081287513E-2</v>
      </c>
      <c r="C19" s="113">
        <f t="shared" si="30"/>
        <v>4.4020455157151826E-2</v>
      </c>
      <c r="D19" s="113">
        <f t="shared" si="30"/>
        <v>3.0592734225621414E-2</v>
      </c>
      <c r="E19" s="113">
        <f t="shared" ref="E19:AD19" si="31">E18/E7</f>
        <v>5.1411783907295575E-2</v>
      </c>
      <c r="F19" s="113">
        <f t="shared" si="31"/>
        <v>7.3698322402985614E-2</v>
      </c>
      <c r="G19" s="113">
        <f t="shared" si="31"/>
        <v>6.067921379289791E-2</v>
      </c>
      <c r="H19" s="113">
        <f t="shared" si="31"/>
        <v>7.0588053616653282E-2</v>
      </c>
      <c r="I19" s="113">
        <f t="shared" si="31"/>
        <v>6.3148323183498639E-2</v>
      </c>
      <c r="J19" s="113">
        <f t="shared" si="31"/>
        <v>5.3296106420689521E-2</v>
      </c>
      <c r="K19" s="113">
        <f t="shared" si="31"/>
        <v>5.7669435484638293E-2</v>
      </c>
      <c r="L19" s="113">
        <f t="shared" si="31"/>
        <v>7.1530357371589595E-2</v>
      </c>
      <c r="M19" s="113">
        <f t="shared" si="31"/>
        <v>6.8552181511299645E-2</v>
      </c>
      <c r="N19" s="113">
        <f t="shared" si="31"/>
        <v>6.4721897539698384E-2</v>
      </c>
      <c r="O19" s="113">
        <f t="shared" si="31"/>
        <v>5.3647729071055548E-2</v>
      </c>
      <c r="P19" s="113">
        <f t="shared" si="31"/>
        <v>2.9114383196744538E-2</v>
      </c>
      <c r="Q19" s="113">
        <f t="shared" si="31"/>
        <v>3.3989780099902396E-2</v>
      </c>
      <c r="R19" s="113" t="e">
        <f t="shared" si="31"/>
        <v>#DIV/0!</v>
      </c>
      <c r="S19" s="113">
        <f t="shared" si="31"/>
        <v>3.371701962129612E-2</v>
      </c>
      <c r="T19" s="113">
        <f t="shared" si="31"/>
        <v>3.5526948989412895E-2</v>
      </c>
      <c r="U19" s="113">
        <f t="shared" si="31"/>
        <v>3.7363239136139093E-2</v>
      </c>
      <c r="V19" s="113">
        <f t="shared" si="31"/>
        <v>3.2465719681418835E-2</v>
      </c>
      <c r="W19" s="113">
        <f t="shared" si="31"/>
        <v>4.3261967521918597E-2</v>
      </c>
      <c r="X19" s="113">
        <f t="shared" si="31"/>
        <v>2.8214016950616219E-2</v>
      </c>
      <c r="Y19" s="113">
        <f t="shared" si="31"/>
        <v>2.4725584693992681E-2</v>
      </c>
      <c r="Z19" s="113">
        <f t="shared" si="31"/>
        <v>2.5540469939356263E-2</v>
      </c>
      <c r="AA19" s="137">
        <f t="shared" si="31"/>
        <v>2.2778719245945846E-2</v>
      </c>
      <c r="AB19" s="136">
        <f t="shared" si="31"/>
        <v>2.1172093023255813E-2</v>
      </c>
      <c r="AC19" s="113">
        <f t="shared" si="31"/>
        <v>1.179477327371908E-2</v>
      </c>
      <c r="AD19" s="113">
        <f t="shared" si="31"/>
        <v>1.5155256898501371E-2</v>
      </c>
      <c r="AE19" s="187">
        <f t="shared" ref="AE19:AN19" si="32">AE18/AE7</f>
        <v>4.3370206130305539E-3</v>
      </c>
      <c r="AF19" s="195">
        <f t="shared" si="32"/>
        <v>-3.0681748450571704E-4</v>
      </c>
      <c r="AG19" s="187">
        <f t="shared" si="32"/>
        <v>-4.1060097051138486E-2</v>
      </c>
      <c r="AH19" s="188">
        <f t="shared" si="32"/>
        <v>-3.8013208548604904E-2</v>
      </c>
      <c r="AI19" s="187">
        <f t="shared" si="32"/>
        <v>-1.4814949630991272E-2</v>
      </c>
      <c r="AJ19" s="188">
        <f t="shared" si="32"/>
        <v>-1.297860017071089E-2</v>
      </c>
      <c r="AK19" s="187">
        <f t="shared" si="32"/>
        <v>-3.9958592132505175E-2</v>
      </c>
      <c r="AL19" s="195">
        <f t="shared" si="32"/>
        <v>-3.2438972423449203E-2</v>
      </c>
      <c r="AM19" s="187">
        <f t="shared" si="32"/>
        <v>-3.6286664650740853E-2</v>
      </c>
      <c r="AN19" s="195">
        <f t="shared" si="32"/>
        <v>-2.9543725645444243E-2</v>
      </c>
      <c r="AO19" s="187">
        <f t="shared" ref="AO19:BJ19" si="33">AO18/AO7</f>
        <v>-4.2755203465515451E-2</v>
      </c>
      <c r="AP19" s="195">
        <f t="shared" si="33"/>
        <v>-3.7864969322805718E-2</v>
      </c>
      <c r="AQ19" s="187">
        <f t="shared" si="33"/>
        <v>-1.9493623483887074E-2</v>
      </c>
      <c r="AR19" s="195">
        <f t="shared" si="33"/>
        <v>-1.9477167560791254E-2</v>
      </c>
      <c r="AS19" s="187">
        <f t="shared" si="33"/>
        <v>-6.7029422172532813E-3</v>
      </c>
      <c r="AT19" s="195">
        <f t="shared" si="33"/>
        <v>-9.1899911166425426E-3</v>
      </c>
      <c r="AU19" s="187">
        <f t="shared" si="33"/>
        <v>2.7338026659042992E-3</v>
      </c>
      <c r="AV19" s="195">
        <f t="shared" si="33"/>
        <v>-3.009851834613296E-3</v>
      </c>
      <c r="AW19" s="187">
        <f t="shared" si="33"/>
        <v>1.1925076131471176E-2</v>
      </c>
      <c r="AX19" s="195">
        <f t="shared" si="33"/>
        <v>4.2025168276265731E-3</v>
      </c>
      <c r="AY19" s="187">
        <f t="shared" si="33"/>
        <v>8.1833796458664933E-3</v>
      </c>
      <c r="AZ19" s="195">
        <f t="shared" si="33"/>
        <v>-1.5880131599942254E-3</v>
      </c>
      <c r="BA19" s="187">
        <f t="shared" si="33"/>
        <v>1.0884893354486162E-2</v>
      </c>
      <c r="BB19" s="195">
        <f t="shared" si="33"/>
        <v>1.1927159135280963E-2</v>
      </c>
      <c r="BC19" s="187">
        <f t="shared" si="33"/>
        <v>1.8302740891938509E-3</v>
      </c>
      <c r="BD19" s="202">
        <f t="shared" si="33"/>
        <v>1.2732218299670119E-3</v>
      </c>
      <c r="BE19" s="194">
        <f t="shared" si="33"/>
        <v>1.398559937812502E-2</v>
      </c>
      <c r="BF19" s="195">
        <f t="shared" si="33"/>
        <v>2.0868464279672348E-2</v>
      </c>
      <c r="BG19" s="187">
        <f t="shared" si="33"/>
        <v>3.9212317872367501E-2</v>
      </c>
      <c r="BH19" s="188">
        <f t="shared" si="33"/>
        <v>4.1787393969933653E-2</v>
      </c>
      <c r="BI19" s="187">
        <f t="shared" si="33"/>
        <v>3.4786712186709853E-2</v>
      </c>
      <c r="BJ19" s="188">
        <f t="shared" si="33"/>
        <v>4.3274383708467312E-2</v>
      </c>
      <c r="BK19" s="187">
        <f t="shared" ref="BK19:BL19" si="34">BK18/BK7</f>
        <v>6.0059058279896708E-2</v>
      </c>
      <c r="BL19" s="188">
        <f t="shared" si="34"/>
        <v>5.9861719479293828E-2</v>
      </c>
      <c r="BM19" s="113">
        <f t="shared" ref="BM19:BN19" si="35">BM18/BM7</f>
        <v>9.6123736501577212E-2</v>
      </c>
      <c r="BN19" s="212">
        <f t="shared" si="35"/>
        <v>9.0030604509251544E-2</v>
      </c>
      <c r="BO19" s="113">
        <f t="shared" ref="BO19:BP19" si="36">BO18/BO7</f>
        <v>9.0397396068623237E-2</v>
      </c>
      <c r="BP19" s="150">
        <f t="shared" si="36"/>
        <v>8.041296814064805E-2</v>
      </c>
    </row>
    <row r="20" spans="1:68" ht="24" customHeight="1">
      <c r="A20" s="122" t="s">
        <v>162</v>
      </c>
      <c r="B20" s="132"/>
      <c r="C20" s="105"/>
      <c r="D20" s="105"/>
      <c r="E20" s="105">
        <v>66</v>
      </c>
      <c r="F20" s="105">
        <v>172</v>
      </c>
      <c r="G20" s="105">
        <v>100</v>
      </c>
      <c r="H20" s="105">
        <v>140</v>
      </c>
      <c r="I20" s="105">
        <v>224</v>
      </c>
      <c r="J20" s="105">
        <v>421</v>
      </c>
      <c r="K20" s="105">
        <v>118</v>
      </c>
      <c r="L20" s="105">
        <v>217</v>
      </c>
      <c r="M20" s="105">
        <v>290</v>
      </c>
      <c r="N20" s="105">
        <v>61</v>
      </c>
      <c r="O20" s="105">
        <v>260</v>
      </c>
      <c r="P20" s="105">
        <v>78</v>
      </c>
      <c r="Q20" s="105">
        <v>135</v>
      </c>
      <c r="R20" s="105"/>
      <c r="S20" s="105">
        <v>6</v>
      </c>
      <c r="T20" s="105">
        <v>61</v>
      </c>
      <c r="U20" s="105">
        <v>7</v>
      </c>
      <c r="V20" s="105">
        <v>74</v>
      </c>
      <c r="W20" s="105">
        <v>120</v>
      </c>
      <c r="X20" s="105">
        <v>340</v>
      </c>
      <c r="Y20" s="105">
        <v>19</v>
      </c>
      <c r="Z20" s="105">
        <v>5</v>
      </c>
      <c r="AA20" s="133">
        <v>27</v>
      </c>
      <c r="AB20" s="132">
        <v>19</v>
      </c>
      <c r="AC20" s="105">
        <v>211</v>
      </c>
      <c r="AD20" s="105">
        <v>18</v>
      </c>
      <c r="AE20" s="183">
        <v>133</v>
      </c>
      <c r="AF20" s="184">
        <v>243</v>
      </c>
      <c r="AG20" s="183">
        <v>152</v>
      </c>
      <c r="AH20" s="184">
        <v>608</v>
      </c>
      <c r="AI20" s="183">
        <v>228</v>
      </c>
      <c r="AJ20" s="184">
        <v>308</v>
      </c>
      <c r="AK20" s="183">
        <v>1714</v>
      </c>
      <c r="AL20" s="184">
        <v>1716</v>
      </c>
      <c r="AM20" s="198">
        <v>462</v>
      </c>
      <c r="AN20" s="184">
        <v>538</v>
      </c>
      <c r="AO20" s="183">
        <v>616</v>
      </c>
      <c r="AP20" s="184">
        <v>623</v>
      </c>
      <c r="AQ20" s="198">
        <v>100</v>
      </c>
      <c r="AR20" s="184">
        <v>206</v>
      </c>
      <c r="AS20" s="183">
        <v>90</v>
      </c>
      <c r="AT20" s="184">
        <v>100</v>
      </c>
      <c r="AU20" s="198">
        <v>453</v>
      </c>
      <c r="AV20" s="184">
        <v>594</v>
      </c>
      <c r="AW20" s="183">
        <v>42</v>
      </c>
      <c r="AX20" s="184">
        <v>79</v>
      </c>
      <c r="AY20" s="198">
        <v>157</v>
      </c>
      <c r="AZ20" s="184">
        <v>124</v>
      </c>
      <c r="BA20" s="183">
        <v>30</v>
      </c>
      <c r="BB20" s="184">
        <v>117</v>
      </c>
      <c r="BC20" s="198">
        <v>26</v>
      </c>
      <c r="BD20" s="199">
        <v>32</v>
      </c>
      <c r="BE20" s="192">
        <v>3178</v>
      </c>
      <c r="BF20" s="184">
        <v>3212</v>
      </c>
      <c r="BG20" s="183">
        <v>99</v>
      </c>
      <c r="BH20" s="184">
        <v>99</v>
      </c>
      <c r="BI20" s="183">
        <v>63</v>
      </c>
      <c r="BJ20" s="184">
        <v>48</v>
      </c>
      <c r="BK20" s="183">
        <v>807</v>
      </c>
      <c r="BL20" s="184">
        <v>871</v>
      </c>
      <c r="BM20" s="105">
        <v>15</v>
      </c>
      <c r="BN20" s="105">
        <v>68</v>
      </c>
      <c r="BO20" s="105">
        <v>1062</v>
      </c>
      <c r="BP20" s="133">
        <v>1064</v>
      </c>
    </row>
    <row r="21" spans="1:68" ht="24" customHeight="1">
      <c r="A21" s="122" t="s">
        <v>163</v>
      </c>
      <c r="B21" s="132"/>
      <c r="C21" s="105"/>
      <c r="D21" s="105"/>
      <c r="E21" s="105">
        <v>16</v>
      </c>
      <c r="F21" s="105">
        <v>75</v>
      </c>
      <c r="G21" s="105">
        <v>72</v>
      </c>
      <c r="H21" s="105">
        <v>26</v>
      </c>
      <c r="I21" s="105">
        <v>679</v>
      </c>
      <c r="J21" s="105">
        <v>216</v>
      </c>
      <c r="K21" s="105">
        <v>127</v>
      </c>
      <c r="L21" s="105">
        <v>158</v>
      </c>
      <c r="M21" s="105">
        <v>185</v>
      </c>
      <c r="N21" s="105">
        <v>145</v>
      </c>
      <c r="O21" s="105">
        <v>67</v>
      </c>
      <c r="P21" s="105">
        <v>34</v>
      </c>
      <c r="Q21" s="105">
        <v>42</v>
      </c>
      <c r="R21" s="105"/>
      <c r="S21" s="105">
        <v>94</v>
      </c>
      <c r="T21" s="105">
        <v>43</v>
      </c>
      <c r="U21" s="105">
        <v>1160</v>
      </c>
      <c r="V21" s="105">
        <v>264</v>
      </c>
      <c r="W21" s="105">
        <v>889</v>
      </c>
      <c r="X21" s="105">
        <v>291</v>
      </c>
      <c r="Y21" s="105">
        <v>255</v>
      </c>
      <c r="Z21" s="105">
        <v>249</v>
      </c>
      <c r="AA21" s="133">
        <v>402</v>
      </c>
      <c r="AB21" s="132">
        <v>832</v>
      </c>
      <c r="AC21" s="105">
        <v>20158</v>
      </c>
      <c r="AD21" s="105">
        <v>129</v>
      </c>
      <c r="AE21" s="183">
        <v>928</v>
      </c>
      <c r="AF21" s="184">
        <v>4272</v>
      </c>
      <c r="AG21" s="183">
        <v>5995</v>
      </c>
      <c r="AH21" s="184">
        <v>6276</v>
      </c>
      <c r="AI21" s="183">
        <v>798</v>
      </c>
      <c r="AJ21" s="184">
        <v>880</v>
      </c>
      <c r="AK21" s="183">
        <v>259</v>
      </c>
      <c r="AL21" s="184">
        <v>273</v>
      </c>
      <c r="AM21" s="198">
        <v>6547</v>
      </c>
      <c r="AN21" s="184">
        <v>8103</v>
      </c>
      <c r="AO21" s="183">
        <v>246</v>
      </c>
      <c r="AP21" s="184">
        <v>269</v>
      </c>
      <c r="AQ21" s="198">
        <v>314</v>
      </c>
      <c r="AR21" s="184">
        <v>624</v>
      </c>
      <c r="AS21" s="183">
        <v>1271</v>
      </c>
      <c r="AT21" s="184">
        <v>2628</v>
      </c>
      <c r="AU21" s="198">
        <v>3330</v>
      </c>
      <c r="AV21" s="184">
        <v>3295</v>
      </c>
      <c r="AW21" s="183">
        <v>818</v>
      </c>
      <c r="AX21" s="184">
        <v>659</v>
      </c>
      <c r="AY21" s="198">
        <v>500</v>
      </c>
      <c r="AZ21" s="184">
        <v>514</v>
      </c>
      <c r="BA21" s="183">
        <v>1001</v>
      </c>
      <c r="BB21" s="184">
        <v>1031</v>
      </c>
      <c r="BC21" s="198">
        <v>1019</v>
      </c>
      <c r="BD21" s="199">
        <v>1079</v>
      </c>
      <c r="BE21" s="192">
        <v>112</v>
      </c>
      <c r="BF21" s="184">
        <v>124</v>
      </c>
      <c r="BG21" s="183">
        <v>23</v>
      </c>
      <c r="BH21" s="184">
        <v>23</v>
      </c>
      <c r="BI21" s="183">
        <v>20</v>
      </c>
      <c r="BJ21" s="184">
        <v>23</v>
      </c>
      <c r="BK21" s="183">
        <v>145</v>
      </c>
      <c r="BL21" s="184">
        <v>399</v>
      </c>
      <c r="BM21" s="105">
        <v>67</v>
      </c>
      <c r="BN21" s="105">
        <v>75</v>
      </c>
      <c r="BO21" s="105">
        <v>43</v>
      </c>
      <c r="BP21" s="133">
        <v>52</v>
      </c>
    </row>
    <row r="22" spans="1:68" ht="24" customHeight="1">
      <c r="A22" s="123" t="s">
        <v>164</v>
      </c>
      <c r="B22" s="142">
        <f t="shared" ref="B22:D22" si="37">B20-B21</f>
        <v>0</v>
      </c>
      <c r="C22" s="109">
        <f t="shared" si="37"/>
        <v>0</v>
      </c>
      <c r="D22" s="109">
        <f t="shared" si="37"/>
        <v>0</v>
      </c>
      <c r="E22" s="109">
        <f t="shared" ref="E22:AC22" si="38">E20-E21</f>
        <v>50</v>
      </c>
      <c r="F22" s="109">
        <f t="shared" si="38"/>
        <v>97</v>
      </c>
      <c r="G22" s="109">
        <f t="shared" si="38"/>
        <v>28</v>
      </c>
      <c r="H22" s="109">
        <f t="shared" si="38"/>
        <v>114</v>
      </c>
      <c r="I22" s="109">
        <f t="shared" si="38"/>
        <v>-455</v>
      </c>
      <c r="J22" s="109">
        <f t="shared" si="38"/>
        <v>205</v>
      </c>
      <c r="K22" s="109">
        <f t="shared" si="38"/>
        <v>-9</v>
      </c>
      <c r="L22" s="109">
        <f t="shared" si="38"/>
        <v>59</v>
      </c>
      <c r="M22" s="109">
        <f t="shared" si="38"/>
        <v>105</v>
      </c>
      <c r="N22" s="109">
        <f t="shared" si="38"/>
        <v>-84</v>
      </c>
      <c r="O22" s="109">
        <f t="shared" si="38"/>
        <v>193</v>
      </c>
      <c r="P22" s="109">
        <f t="shared" si="38"/>
        <v>44</v>
      </c>
      <c r="Q22" s="109">
        <f t="shared" si="38"/>
        <v>93</v>
      </c>
      <c r="R22" s="109">
        <f t="shared" si="38"/>
        <v>0</v>
      </c>
      <c r="S22" s="109">
        <f t="shared" si="38"/>
        <v>-88</v>
      </c>
      <c r="T22" s="109">
        <f t="shared" si="38"/>
        <v>18</v>
      </c>
      <c r="U22" s="109">
        <f t="shared" si="38"/>
        <v>-1153</v>
      </c>
      <c r="V22" s="109">
        <f t="shared" si="38"/>
        <v>-190</v>
      </c>
      <c r="W22" s="109">
        <f t="shared" si="38"/>
        <v>-769</v>
      </c>
      <c r="X22" s="109">
        <f t="shared" si="38"/>
        <v>49</v>
      </c>
      <c r="Y22" s="109">
        <f t="shared" si="38"/>
        <v>-236</v>
      </c>
      <c r="Z22" s="109">
        <f t="shared" si="38"/>
        <v>-244</v>
      </c>
      <c r="AA22" s="143">
        <f t="shared" si="38"/>
        <v>-375</v>
      </c>
      <c r="AB22" s="142">
        <f t="shared" si="38"/>
        <v>-813</v>
      </c>
      <c r="AC22" s="109">
        <f t="shared" si="38"/>
        <v>-19947</v>
      </c>
      <c r="AD22" s="109">
        <f t="shared" ref="AD22" si="39">AD20-AD21</f>
        <v>-111</v>
      </c>
      <c r="AE22" s="109">
        <f t="shared" ref="AE22:BE22" si="40">AE20-AE21</f>
        <v>-795</v>
      </c>
      <c r="AF22" s="109">
        <f t="shared" si="40"/>
        <v>-4029</v>
      </c>
      <c r="AG22" s="109">
        <f t="shared" si="40"/>
        <v>-5843</v>
      </c>
      <c r="AH22" s="110">
        <f t="shared" si="40"/>
        <v>-5668</v>
      </c>
      <c r="AI22" s="109">
        <f t="shared" si="40"/>
        <v>-570</v>
      </c>
      <c r="AJ22" s="110">
        <f t="shared" si="40"/>
        <v>-572</v>
      </c>
      <c r="AK22" s="109">
        <f t="shared" si="40"/>
        <v>1455</v>
      </c>
      <c r="AL22" s="109">
        <f t="shared" si="40"/>
        <v>1443</v>
      </c>
      <c r="AM22" s="109">
        <f t="shared" si="40"/>
        <v>-6085</v>
      </c>
      <c r="AN22" s="109">
        <f t="shared" si="40"/>
        <v>-7565</v>
      </c>
      <c r="AO22" s="109">
        <f t="shared" si="40"/>
        <v>370</v>
      </c>
      <c r="AP22" s="109">
        <f t="shared" si="40"/>
        <v>354</v>
      </c>
      <c r="AQ22" s="109">
        <f t="shared" si="40"/>
        <v>-214</v>
      </c>
      <c r="AR22" s="109">
        <f t="shared" si="40"/>
        <v>-418</v>
      </c>
      <c r="AS22" s="109">
        <f t="shared" si="40"/>
        <v>-1181</v>
      </c>
      <c r="AT22" s="109">
        <f t="shared" si="40"/>
        <v>-2528</v>
      </c>
      <c r="AU22" s="109">
        <f t="shared" si="40"/>
        <v>-2877</v>
      </c>
      <c r="AV22" s="109">
        <f t="shared" si="40"/>
        <v>-2701</v>
      </c>
      <c r="AW22" s="109">
        <f t="shared" si="40"/>
        <v>-776</v>
      </c>
      <c r="AX22" s="109">
        <f t="shared" si="40"/>
        <v>-580</v>
      </c>
      <c r="AY22" s="109">
        <f t="shared" si="40"/>
        <v>-343</v>
      </c>
      <c r="AZ22" s="109">
        <f t="shared" si="40"/>
        <v>-390</v>
      </c>
      <c r="BA22" s="109">
        <f t="shared" si="40"/>
        <v>-971</v>
      </c>
      <c r="BB22" s="109">
        <f t="shared" si="40"/>
        <v>-914</v>
      </c>
      <c r="BC22" s="109">
        <f t="shared" si="40"/>
        <v>-993</v>
      </c>
      <c r="BD22" s="143">
        <f t="shared" si="40"/>
        <v>-1047</v>
      </c>
      <c r="BE22" s="142">
        <f t="shared" si="40"/>
        <v>3066</v>
      </c>
      <c r="BF22" s="110">
        <f t="shared" ref="BF22:BJ22" si="41">BF20-BF21</f>
        <v>3088</v>
      </c>
      <c r="BG22" s="109">
        <f t="shared" si="41"/>
        <v>76</v>
      </c>
      <c r="BH22" s="110">
        <f t="shared" si="41"/>
        <v>76</v>
      </c>
      <c r="BI22" s="109">
        <f t="shared" si="41"/>
        <v>43</v>
      </c>
      <c r="BJ22" s="110">
        <f t="shared" si="41"/>
        <v>25</v>
      </c>
      <c r="BK22" s="109">
        <f t="shared" ref="BK22:BL22" si="42">BK20-BK21</f>
        <v>662</v>
      </c>
      <c r="BL22" s="110">
        <f t="shared" si="42"/>
        <v>472</v>
      </c>
      <c r="BM22" s="109">
        <f t="shared" ref="BM22:BN22" si="43">BM20-BM21</f>
        <v>-52</v>
      </c>
      <c r="BN22" s="109">
        <f t="shared" si="43"/>
        <v>-7</v>
      </c>
      <c r="BO22" s="109">
        <f>BO20-BO21-1</f>
        <v>1018</v>
      </c>
      <c r="BP22" s="143">
        <f t="shared" ref="BP22" si="44">BP20-BP21</f>
        <v>1012</v>
      </c>
    </row>
    <row r="23" spans="1:68" ht="24" customHeight="1">
      <c r="A23" s="120" t="s">
        <v>165</v>
      </c>
      <c r="B23" s="134">
        <f t="shared" ref="B23:D23" si="45">B18+B20-B21</f>
        <v>2543</v>
      </c>
      <c r="C23" s="112">
        <f t="shared" si="45"/>
        <v>1472</v>
      </c>
      <c r="D23" s="112">
        <f t="shared" si="45"/>
        <v>1600</v>
      </c>
      <c r="E23" s="112">
        <f t="shared" ref="E23:AA23" si="46">E18+E20-E21</f>
        <v>2885</v>
      </c>
      <c r="F23" s="112">
        <f t="shared" si="46"/>
        <v>4165</v>
      </c>
      <c r="G23" s="112">
        <f t="shared" si="46"/>
        <v>4100</v>
      </c>
      <c r="H23" s="112">
        <f t="shared" si="46"/>
        <v>4685</v>
      </c>
      <c r="I23" s="112">
        <f t="shared" si="46"/>
        <v>4823</v>
      </c>
      <c r="J23" s="112">
        <f t="shared" si="46"/>
        <v>5798</v>
      </c>
      <c r="K23" s="112">
        <f t="shared" si="46"/>
        <v>6052</v>
      </c>
      <c r="L23" s="112">
        <f t="shared" si="46"/>
        <v>8994</v>
      </c>
      <c r="M23" s="112">
        <f>M18+M20-M21-1</f>
        <v>9283</v>
      </c>
      <c r="N23" s="112">
        <f>N18+N20-N21-1</f>
        <v>8996</v>
      </c>
      <c r="O23" s="112">
        <f t="shared" si="46"/>
        <v>7990</v>
      </c>
      <c r="P23" s="112">
        <f>P18+P20-P21-1</f>
        <v>5180</v>
      </c>
      <c r="Q23" s="112">
        <f t="shared" si="46"/>
        <v>5421</v>
      </c>
      <c r="R23" s="112">
        <f t="shared" si="46"/>
        <v>0</v>
      </c>
      <c r="S23" s="112">
        <f>S18+S20-S21-1</f>
        <v>5415</v>
      </c>
      <c r="T23" s="112">
        <f>T18+T20-T21+1</f>
        <v>5925</v>
      </c>
      <c r="U23" s="112">
        <f t="shared" si="46"/>
        <v>5397</v>
      </c>
      <c r="V23" s="112">
        <f t="shared" si="46"/>
        <v>5741</v>
      </c>
      <c r="W23" s="112">
        <f t="shared" si="46"/>
        <v>6075</v>
      </c>
      <c r="X23" s="112">
        <f t="shared" si="46"/>
        <v>4623</v>
      </c>
      <c r="Y23" s="112">
        <f>Y18+Y20-Y21+1</f>
        <v>4367</v>
      </c>
      <c r="Z23" s="112">
        <f>Z18+Z20-Z21+1</f>
        <v>3619</v>
      </c>
      <c r="AA23" s="135">
        <f t="shared" si="46"/>
        <v>3308</v>
      </c>
      <c r="AB23" s="134">
        <f>AB18+AB20-AB21+1</f>
        <v>2602</v>
      </c>
      <c r="AC23" s="112">
        <f>AC18+AC20-AC21+1</f>
        <v>-17920</v>
      </c>
      <c r="AD23" s="112">
        <f>AD18+AD20-AD21</f>
        <v>2221</v>
      </c>
      <c r="AE23" s="185">
        <f>AE18+AE20-AE21+1</f>
        <v>-260</v>
      </c>
      <c r="AF23" s="186">
        <f>AF18+AF20-AF21</f>
        <v>-4074</v>
      </c>
      <c r="AG23" s="185">
        <f>AG18+AG20-AG21</f>
        <v>-11013</v>
      </c>
      <c r="AH23" s="186">
        <f>AH18+AH20-AH21-1</f>
        <v>-11327</v>
      </c>
      <c r="AI23" s="185">
        <f>AI18+AI20-AI21-1</f>
        <v>-2199</v>
      </c>
      <c r="AJ23" s="186">
        <f>AJ18+AJ20-AJ21-1</f>
        <v>-2276</v>
      </c>
      <c r="AK23" s="185">
        <f>AK18+AK20-AK21</f>
        <v>-2984</v>
      </c>
      <c r="AL23" s="186">
        <f>AL18+AL20-AL21</f>
        <v>-2820</v>
      </c>
      <c r="AM23" s="200">
        <f>AM18+AM20-AM21+1</f>
        <v>-9924</v>
      </c>
      <c r="AN23" s="186">
        <f>AN18+AN20-AN21</f>
        <v>-11371</v>
      </c>
      <c r="AO23" s="185">
        <f>AO18+AO20-AO21</f>
        <v>-5394</v>
      </c>
      <c r="AP23" s="186">
        <f>AP18+AP20-AP21+1</f>
        <v>-5582</v>
      </c>
      <c r="AQ23" s="200">
        <f>AQ18+AQ20-AQ21-1</f>
        <v>-3963</v>
      </c>
      <c r="AR23" s="186">
        <f>AR18+AR20-AR21-1</f>
        <v>-4645</v>
      </c>
      <c r="AS23" s="185">
        <f t="shared" ref="AS23:AY23" si="47">AS18+AS20-AS21</f>
        <v>-2488</v>
      </c>
      <c r="AT23" s="186">
        <f t="shared" si="47"/>
        <v>-4566</v>
      </c>
      <c r="AU23" s="200">
        <f t="shared" si="47"/>
        <v>-2418</v>
      </c>
      <c r="AV23" s="186">
        <f t="shared" si="47"/>
        <v>-3283</v>
      </c>
      <c r="AW23" s="185">
        <f t="shared" si="47"/>
        <v>1041</v>
      </c>
      <c r="AX23" s="186">
        <f t="shared" si="47"/>
        <v>138</v>
      </c>
      <c r="AY23" s="200">
        <f t="shared" si="47"/>
        <v>567</v>
      </c>
      <c r="AZ23" s="186">
        <f>AZ18+AZ20-AZ21-1</f>
        <v>-600</v>
      </c>
      <c r="BA23" s="185">
        <f>BA18+BA20-BA21</f>
        <v>264</v>
      </c>
      <c r="BB23" s="186">
        <f>BB18+BB20-BB21</f>
        <v>766</v>
      </c>
      <c r="BC23" s="200">
        <f>BC18+BC20-BC21+1</f>
        <v>-749</v>
      </c>
      <c r="BD23" s="201">
        <f>BD18+BD20-BD21+1</f>
        <v>-848</v>
      </c>
      <c r="BE23" s="193">
        <f>BE18+BE20-BE21-1</f>
        <v>5188</v>
      </c>
      <c r="BF23" s="186">
        <f>BF18+BF20-BF21+1</f>
        <v>6913</v>
      </c>
      <c r="BG23" s="185">
        <f>BG18+BG20-BG21</f>
        <v>6239</v>
      </c>
      <c r="BH23" s="186">
        <f>BH18+BH20-BH21-1</f>
        <v>8036</v>
      </c>
      <c r="BI23" s="185">
        <f>BI18+BI20-BI21</f>
        <v>6014</v>
      </c>
      <c r="BJ23" s="186">
        <f>BJ18+BJ20-BJ21</f>
        <v>8423</v>
      </c>
      <c r="BK23" s="185">
        <f>BK18+BK20-BK21-1</f>
        <v>10383</v>
      </c>
      <c r="BL23" s="186">
        <f>BL18+BL20-BL21+1</f>
        <v>12144</v>
      </c>
      <c r="BM23" s="112">
        <f>BM18+BM20-BM21</f>
        <v>16647</v>
      </c>
      <c r="BN23" s="211">
        <f>BN18+BN20-BN21</f>
        <v>19232</v>
      </c>
      <c r="BO23" s="112">
        <f>BO18+BO20-BO21</f>
        <v>17211.252776000001</v>
      </c>
      <c r="BP23" s="149">
        <f>BP18+BP20-BP21</f>
        <v>18786</v>
      </c>
    </row>
    <row r="24" spans="1:68" ht="24" customHeight="1">
      <c r="A24" s="121" t="s">
        <v>166</v>
      </c>
      <c r="B24" s="136">
        <f t="shared" ref="B24:D24" si="48">B23/B7</f>
        <v>8.6708947081287513E-2</v>
      </c>
      <c r="C24" s="113">
        <f t="shared" si="48"/>
        <v>4.4020455157151826E-2</v>
      </c>
      <c r="D24" s="113">
        <f t="shared" si="48"/>
        <v>3.0592734225621414E-2</v>
      </c>
      <c r="E24" s="113">
        <f t="shared" ref="E24:AC24" si="49">E23/E7</f>
        <v>5.2318517309540652E-2</v>
      </c>
      <c r="F24" s="113">
        <f t="shared" si="49"/>
        <v>7.5455632450451102E-2</v>
      </c>
      <c r="G24" s="113">
        <f t="shared" si="49"/>
        <v>6.1096457895599567E-2</v>
      </c>
      <c r="H24" s="113">
        <f t="shared" si="49"/>
        <v>7.2348508246340107E-2</v>
      </c>
      <c r="I24" s="113">
        <f t="shared" si="49"/>
        <v>5.770450221940393E-2</v>
      </c>
      <c r="J24" s="113">
        <f t="shared" si="49"/>
        <v>5.5249566427169293E-2</v>
      </c>
      <c r="K24" s="113">
        <f t="shared" si="49"/>
        <v>5.7583801939124067E-2</v>
      </c>
      <c r="L24" s="113">
        <f t="shared" si="49"/>
        <v>7.2002689893685148E-2</v>
      </c>
      <c r="M24" s="113">
        <f t="shared" si="49"/>
        <v>6.9328892141779563E-2</v>
      </c>
      <c r="N24" s="113">
        <f t="shared" si="49"/>
        <v>6.4116087464720473E-2</v>
      </c>
      <c r="O24" s="113">
        <f t="shared" si="49"/>
        <v>5.4975677219152731E-2</v>
      </c>
      <c r="P24" s="113">
        <f t="shared" si="49"/>
        <v>2.9358089343807028E-2</v>
      </c>
      <c r="Q24" s="113">
        <f t="shared" si="49"/>
        <v>3.4583070180475017E-2</v>
      </c>
      <c r="R24" s="113" t="e">
        <f t="shared" si="49"/>
        <v>#DIV/0!</v>
      </c>
      <c r="S24" s="113">
        <f t="shared" si="49"/>
        <v>3.3171813453727925E-2</v>
      </c>
      <c r="T24" s="113">
        <f t="shared" si="49"/>
        <v>3.5641241578440806E-2</v>
      </c>
      <c r="U24" s="113">
        <f t="shared" si="49"/>
        <v>3.0786168185914915E-2</v>
      </c>
      <c r="V24" s="113">
        <f t="shared" si="49"/>
        <v>3.1425678079754771E-2</v>
      </c>
      <c r="W24" s="113">
        <f t="shared" si="49"/>
        <v>3.8401001270551648E-2</v>
      </c>
      <c r="X24" s="113">
        <f t="shared" si="49"/>
        <v>2.8516265929754869E-2</v>
      </c>
      <c r="Y24" s="113">
        <f t="shared" si="49"/>
        <v>2.34629787828479E-2</v>
      </c>
      <c r="Z24" s="113">
        <f t="shared" si="49"/>
        <v>2.3933443995476519E-2</v>
      </c>
      <c r="AA24" s="137">
        <f t="shared" si="49"/>
        <v>2.0459408977895426E-2</v>
      </c>
      <c r="AB24" s="136">
        <f t="shared" si="49"/>
        <v>1.6136434108527133E-2</v>
      </c>
      <c r="AC24" s="113">
        <f t="shared" si="49"/>
        <v>-0.10432494425717961</v>
      </c>
      <c r="AD24" s="113">
        <f t="shared" ref="AD24" si="50">AD23/AD7</f>
        <v>1.4433887466368587E-2</v>
      </c>
      <c r="AE24" s="187">
        <f t="shared" ref="AE24:AN24" si="51">AE23/AE7</f>
        <v>-2.1116579763819179E-3</v>
      </c>
      <c r="AF24" s="195">
        <f t="shared" si="51"/>
        <v>-2.7777209597250916E-2</v>
      </c>
      <c r="AG24" s="187">
        <f t="shared" si="51"/>
        <v>-8.7465154511448387E-2</v>
      </c>
      <c r="AH24" s="188">
        <f t="shared" si="51"/>
        <v>-7.6100320471906638E-2</v>
      </c>
      <c r="AI24" s="187">
        <f t="shared" si="51"/>
        <v>-2.0011102112131331E-2</v>
      </c>
      <c r="AJ24" s="188">
        <f t="shared" si="51"/>
        <v>-1.7345445677356418E-2</v>
      </c>
      <c r="AK24" s="187">
        <f t="shared" si="51"/>
        <v>-2.6861103609685841E-2</v>
      </c>
      <c r="AL24" s="195">
        <f t="shared" si="51"/>
        <v>-2.1458574298411151E-2</v>
      </c>
      <c r="AM24" s="187">
        <f t="shared" si="51"/>
        <v>-9.3778348956758392E-2</v>
      </c>
      <c r="AN24" s="195">
        <f t="shared" si="51"/>
        <v>-8.8266343750485157E-2</v>
      </c>
      <c r="AO24" s="187">
        <f t="shared" ref="AO24:BJ24" si="52">AO23/AO7</f>
        <v>-4.0010681383239127E-2</v>
      </c>
      <c r="AP24" s="195">
        <f t="shared" si="52"/>
        <v>-3.5600852073421174E-2</v>
      </c>
      <c r="AQ24" s="187">
        <f t="shared" si="52"/>
        <v>-2.0611854286724782E-2</v>
      </c>
      <c r="AR24" s="195">
        <f t="shared" si="52"/>
        <v>-2.1408292314215659E-2</v>
      </c>
      <c r="AS24" s="187">
        <f t="shared" si="52"/>
        <v>-1.2759694136592321E-2</v>
      </c>
      <c r="AT24" s="195">
        <f t="shared" si="52"/>
        <v>-2.0589548301565185E-2</v>
      </c>
      <c r="AU24" s="187">
        <f t="shared" si="52"/>
        <v>-1.4401600972018726E-2</v>
      </c>
      <c r="AV24" s="195">
        <f t="shared" si="52"/>
        <v>-1.6978253561916581E-2</v>
      </c>
      <c r="AW24" s="187">
        <f t="shared" si="52"/>
        <v>6.8321432321747349E-3</v>
      </c>
      <c r="AX24" s="195">
        <f t="shared" si="52"/>
        <v>8.0772607550482877E-4</v>
      </c>
      <c r="AY24" s="187">
        <f t="shared" si="52"/>
        <v>5.0988750101168155E-3</v>
      </c>
      <c r="AZ24" s="195">
        <f t="shared" si="52"/>
        <v>-4.5588894545288763E-3</v>
      </c>
      <c r="BA24" s="187">
        <f t="shared" si="52"/>
        <v>2.3268112109994712E-3</v>
      </c>
      <c r="BB24" s="195">
        <f t="shared" si="52"/>
        <v>5.4382166057292958E-3</v>
      </c>
      <c r="BC24" s="187">
        <f t="shared" si="52"/>
        <v>-5.6414621103135568E-3</v>
      </c>
      <c r="BD24" s="202">
        <f t="shared" si="52"/>
        <v>-5.452990463697102E-3</v>
      </c>
      <c r="BE24" s="194">
        <f t="shared" si="52"/>
        <v>3.4176773233025252E-2</v>
      </c>
      <c r="BF24" s="195">
        <f t="shared" si="52"/>
        <v>3.7725861288016457E-2</v>
      </c>
      <c r="BG24" s="187">
        <f t="shared" si="52"/>
        <v>3.969587071324044E-2</v>
      </c>
      <c r="BH24" s="188">
        <f t="shared" si="52"/>
        <v>4.2181069958847739E-2</v>
      </c>
      <c r="BI24" s="187">
        <f t="shared" si="52"/>
        <v>3.5037227782762199E-2</v>
      </c>
      <c r="BJ24" s="188">
        <f t="shared" si="52"/>
        <v>4.3403207189380823E-2</v>
      </c>
      <c r="BK24" s="187">
        <f t="shared" ref="BK24:BL24" si="53">BK23/BK7</f>
        <v>6.4142481189072981E-2</v>
      </c>
      <c r="BL24" s="188">
        <f t="shared" si="53"/>
        <v>6.2287783510971147E-2</v>
      </c>
      <c r="BM24" s="113">
        <f t="shared" ref="BM24:BN24" si="54">BM23/BM7</f>
        <v>9.5824411134903642E-2</v>
      </c>
      <c r="BN24" s="212">
        <f t="shared" si="54"/>
        <v>8.9997847389257535E-2</v>
      </c>
      <c r="BO24" s="113">
        <f t="shared" ref="BO24:BP24" si="55">BO23/BO7</f>
        <v>9.6086224415625018E-2</v>
      </c>
      <c r="BP24" s="150">
        <f t="shared" si="55"/>
        <v>8.4991449279296402E-2</v>
      </c>
    </row>
    <row r="25" spans="1:68" ht="24" customHeight="1">
      <c r="A25" s="122" t="s">
        <v>532</v>
      </c>
      <c r="B25" s="132"/>
      <c r="C25" s="105"/>
      <c r="D25" s="105"/>
      <c r="E25" s="105"/>
      <c r="F25" s="105">
        <v>2230</v>
      </c>
      <c r="G25" s="105">
        <v>2140</v>
      </c>
      <c r="H25" s="105">
        <v>2584</v>
      </c>
      <c r="I25" s="105">
        <v>2678</v>
      </c>
      <c r="J25" s="105">
        <v>3223</v>
      </c>
      <c r="K25" s="105">
        <v>3160</v>
      </c>
      <c r="L25" s="105">
        <v>5216</v>
      </c>
      <c r="M25" s="105">
        <v>5384</v>
      </c>
      <c r="N25" s="105">
        <v>5218</v>
      </c>
      <c r="O25" s="105">
        <v>4217</v>
      </c>
      <c r="P25" s="105">
        <v>2734</v>
      </c>
      <c r="Q25" s="105">
        <v>2861</v>
      </c>
      <c r="R25" s="105"/>
      <c r="S25" s="105">
        <v>3019</v>
      </c>
      <c r="T25" s="105">
        <v>3265</v>
      </c>
      <c r="U25" s="105">
        <v>2947</v>
      </c>
      <c r="V25" s="105">
        <f>3172+51</f>
        <v>3223</v>
      </c>
      <c r="W25" s="105">
        <f>3400+51</f>
        <v>3451</v>
      </c>
      <c r="X25" s="105">
        <f>2660+115</f>
        <v>2775</v>
      </c>
      <c r="Y25" s="105">
        <f>2549+64</f>
        <v>2613</v>
      </c>
      <c r="Z25" s="105">
        <f>2118+64</f>
        <v>2182</v>
      </c>
      <c r="AA25" s="133">
        <v>1985</v>
      </c>
      <c r="AB25" s="132">
        <v>1598</v>
      </c>
      <c r="AC25" s="105">
        <v>140</v>
      </c>
      <c r="AD25" s="105">
        <v>125</v>
      </c>
      <c r="AE25" s="183">
        <v>138</v>
      </c>
      <c r="AF25" s="184">
        <v>270</v>
      </c>
      <c r="AG25" s="183">
        <v>-4595</v>
      </c>
      <c r="AH25" s="184">
        <v>-4346</v>
      </c>
      <c r="AI25" s="183">
        <v>-525</v>
      </c>
      <c r="AJ25" s="184">
        <v>-416</v>
      </c>
      <c r="AK25" s="183">
        <v>-351</v>
      </c>
      <c r="AL25" s="184">
        <v>8</v>
      </c>
      <c r="AM25" s="198">
        <v>-2418</v>
      </c>
      <c r="AN25" s="184">
        <v>-2734</v>
      </c>
      <c r="AO25" s="183">
        <v>-2014</v>
      </c>
      <c r="AP25" s="184">
        <v>-1793</v>
      </c>
      <c r="AQ25" s="198">
        <v>-1604</v>
      </c>
      <c r="AR25" s="184">
        <v>-1250</v>
      </c>
      <c r="AS25" s="183">
        <v>-572</v>
      </c>
      <c r="AT25" s="184">
        <v>-447</v>
      </c>
      <c r="AU25" s="198">
        <v>104</v>
      </c>
      <c r="AV25" s="184">
        <v>173</v>
      </c>
      <c r="AW25" s="183">
        <v>92</v>
      </c>
      <c r="AX25" s="184">
        <v>519</v>
      </c>
      <c r="AY25" s="198">
        <v>84</v>
      </c>
      <c r="AZ25" s="184">
        <v>107</v>
      </c>
      <c r="BA25" s="183">
        <v>80</v>
      </c>
      <c r="BB25" s="184">
        <v>309</v>
      </c>
      <c r="BC25" s="198">
        <v>81</v>
      </c>
      <c r="BD25" s="199">
        <v>237</v>
      </c>
      <c r="BE25" s="192">
        <v>401</v>
      </c>
      <c r="BF25" s="184">
        <v>727</v>
      </c>
      <c r="BG25" s="183">
        <v>817</v>
      </c>
      <c r="BH25" s="184">
        <v>1138</v>
      </c>
      <c r="BI25" s="183">
        <v>279</v>
      </c>
      <c r="BJ25" s="184">
        <v>273</v>
      </c>
      <c r="BK25" s="183">
        <v>1593</v>
      </c>
      <c r="BL25" s="184">
        <v>2141</v>
      </c>
      <c r="BM25" s="105">
        <v>5789</v>
      </c>
      <c r="BN25" s="105">
        <v>6105</v>
      </c>
      <c r="BO25" s="105">
        <v>5529</v>
      </c>
      <c r="BP25" s="133">
        <v>5965</v>
      </c>
    </row>
    <row r="26" spans="1:68" ht="24" customHeight="1">
      <c r="A26" s="214" t="s">
        <v>726</v>
      </c>
      <c r="B26" s="138" t="s">
        <v>206</v>
      </c>
      <c r="C26" s="114" t="s">
        <v>206</v>
      </c>
      <c r="D26" s="114" t="s">
        <v>206</v>
      </c>
      <c r="E26" s="114" t="s">
        <v>206</v>
      </c>
      <c r="F26" s="114" t="s">
        <v>206</v>
      </c>
      <c r="G26" s="114" t="s">
        <v>206</v>
      </c>
      <c r="H26" s="114" t="s">
        <v>206</v>
      </c>
      <c r="I26" s="114" t="s">
        <v>206</v>
      </c>
      <c r="J26" s="114" t="s">
        <v>206</v>
      </c>
      <c r="K26" s="114" t="s">
        <v>206</v>
      </c>
      <c r="L26" s="114" t="s">
        <v>206</v>
      </c>
      <c r="M26" s="114" t="s">
        <v>206</v>
      </c>
      <c r="N26" s="114" t="s">
        <v>206</v>
      </c>
      <c r="O26" s="114" t="s">
        <v>206</v>
      </c>
      <c r="P26" s="114" t="s">
        <v>206</v>
      </c>
      <c r="Q26" s="114" t="s">
        <v>206</v>
      </c>
      <c r="R26" s="114" t="s">
        <v>206</v>
      </c>
      <c r="S26" s="114" t="s">
        <v>206</v>
      </c>
      <c r="T26" s="114" t="s">
        <v>206</v>
      </c>
      <c r="U26" s="114" t="s">
        <v>206</v>
      </c>
      <c r="V26" s="114" t="s">
        <v>206</v>
      </c>
      <c r="W26" s="114" t="s">
        <v>206</v>
      </c>
      <c r="X26" s="114" t="s">
        <v>206</v>
      </c>
      <c r="Y26" s="114" t="s">
        <v>206</v>
      </c>
      <c r="Z26" s="114" t="s">
        <v>206</v>
      </c>
      <c r="AA26" s="139" t="s">
        <v>206</v>
      </c>
      <c r="AB26" s="138" t="s">
        <v>206</v>
      </c>
      <c r="AC26" s="114" t="s">
        <v>206</v>
      </c>
      <c r="AD26" s="114" t="s">
        <v>206</v>
      </c>
      <c r="AE26" s="189" t="s">
        <v>206</v>
      </c>
      <c r="AF26" s="184">
        <v>-1935</v>
      </c>
      <c r="AG26" s="189" t="s">
        <v>206</v>
      </c>
      <c r="AH26" s="184">
        <v>-82</v>
      </c>
      <c r="AI26" s="189" t="s">
        <v>206</v>
      </c>
      <c r="AJ26" s="184">
        <v>-8</v>
      </c>
      <c r="AK26" s="189" t="s">
        <v>206</v>
      </c>
      <c r="AL26" s="184">
        <v>-56</v>
      </c>
      <c r="AM26" s="106" t="s">
        <v>206</v>
      </c>
      <c r="AN26" s="184">
        <v>-487</v>
      </c>
      <c r="AO26" s="189" t="s">
        <v>206</v>
      </c>
      <c r="AP26" s="184">
        <v>27</v>
      </c>
      <c r="AQ26" s="106" t="s">
        <v>206</v>
      </c>
      <c r="AR26" s="184">
        <v>-58</v>
      </c>
      <c r="AS26" s="189" t="s">
        <v>206</v>
      </c>
      <c r="AT26" s="184">
        <v>-487</v>
      </c>
      <c r="AU26" s="106" t="s">
        <v>206</v>
      </c>
      <c r="AV26" s="184">
        <v>-121</v>
      </c>
      <c r="AW26" s="189" t="s">
        <v>206</v>
      </c>
      <c r="AX26" s="184">
        <v>-699</v>
      </c>
      <c r="AY26" s="106" t="s">
        <v>206</v>
      </c>
      <c r="AZ26" s="184">
        <v>-383</v>
      </c>
      <c r="BA26" s="189" t="s">
        <v>206</v>
      </c>
      <c r="BB26" s="184">
        <v>-47</v>
      </c>
      <c r="BC26" s="189" t="s">
        <v>206</v>
      </c>
      <c r="BD26" s="199">
        <v>-182</v>
      </c>
      <c r="BE26" s="196" t="s">
        <v>206</v>
      </c>
      <c r="BF26" s="184">
        <v>405</v>
      </c>
      <c r="BG26" s="189" t="s">
        <v>206</v>
      </c>
      <c r="BH26" s="184">
        <v>326</v>
      </c>
      <c r="BI26" s="189" t="s">
        <v>206</v>
      </c>
      <c r="BJ26" s="184">
        <v>316</v>
      </c>
      <c r="BK26" s="189" t="s">
        <v>206</v>
      </c>
      <c r="BL26" s="184">
        <v>435</v>
      </c>
      <c r="BM26" s="114" t="s">
        <v>206</v>
      </c>
      <c r="BN26" s="105">
        <v>1183</v>
      </c>
      <c r="BO26" s="114" t="s">
        <v>206</v>
      </c>
      <c r="BP26" s="133">
        <v>934</v>
      </c>
    </row>
    <row r="27" spans="1:68" ht="24" customHeight="1">
      <c r="A27" s="120" t="s">
        <v>524</v>
      </c>
      <c r="B27" s="134">
        <f t="shared" ref="B27:D27" si="56">B23-B25</f>
        <v>2543</v>
      </c>
      <c r="C27" s="112">
        <f t="shared" si="56"/>
        <v>1472</v>
      </c>
      <c r="D27" s="112">
        <f t="shared" si="56"/>
        <v>1600</v>
      </c>
      <c r="E27" s="112">
        <f t="shared" ref="E27:AD27" si="57">E23-E25</f>
        <v>2885</v>
      </c>
      <c r="F27" s="112">
        <f t="shared" si="57"/>
        <v>1935</v>
      </c>
      <c r="G27" s="112">
        <f t="shared" si="57"/>
        <v>1960</v>
      </c>
      <c r="H27" s="112">
        <f t="shared" si="57"/>
        <v>2101</v>
      </c>
      <c r="I27" s="112">
        <f t="shared" si="57"/>
        <v>2145</v>
      </c>
      <c r="J27" s="112">
        <f t="shared" si="57"/>
        <v>2575</v>
      </c>
      <c r="K27" s="112">
        <f t="shared" si="57"/>
        <v>2892</v>
      </c>
      <c r="L27" s="112">
        <f t="shared" si="57"/>
        <v>3778</v>
      </c>
      <c r="M27" s="112">
        <f t="shared" si="57"/>
        <v>3899</v>
      </c>
      <c r="N27" s="112">
        <f t="shared" si="57"/>
        <v>3778</v>
      </c>
      <c r="O27" s="112">
        <f t="shared" si="57"/>
        <v>3773</v>
      </c>
      <c r="P27" s="112">
        <f t="shared" si="57"/>
        <v>2446</v>
      </c>
      <c r="Q27" s="112">
        <f t="shared" si="57"/>
        <v>2560</v>
      </c>
      <c r="R27" s="112">
        <f t="shared" si="57"/>
        <v>0</v>
      </c>
      <c r="S27" s="112">
        <f t="shared" si="57"/>
        <v>2396</v>
      </c>
      <c r="T27" s="112">
        <f t="shared" si="57"/>
        <v>2660</v>
      </c>
      <c r="U27" s="112">
        <f t="shared" si="57"/>
        <v>2450</v>
      </c>
      <c r="V27" s="112">
        <f t="shared" si="57"/>
        <v>2518</v>
      </c>
      <c r="W27" s="112">
        <f t="shared" si="57"/>
        <v>2624</v>
      </c>
      <c r="X27" s="112">
        <f t="shared" si="57"/>
        <v>1848</v>
      </c>
      <c r="Y27" s="112">
        <f t="shared" si="57"/>
        <v>1754</v>
      </c>
      <c r="Z27" s="112">
        <f t="shared" si="57"/>
        <v>1437</v>
      </c>
      <c r="AA27" s="135">
        <f t="shared" si="57"/>
        <v>1323</v>
      </c>
      <c r="AB27" s="134">
        <f t="shared" si="57"/>
        <v>1004</v>
      </c>
      <c r="AC27" s="112">
        <f t="shared" si="57"/>
        <v>-18060</v>
      </c>
      <c r="AD27" s="112">
        <f t="shared" si="57"/>
        <v>2096</v>
      </c>
      <c r="AE27" s="185">
        <f>AE23-AE25</f>
        <v>-398</v>
      </c>
      <c r="AF27" s="186">
        <f>AF23-AF25-AF26</f>
        <v>-2409</v>
      </c>
      <c r="AG27" s="185">
        <f>AG23-AG25</f>
        <v>-6418</v>
      </c>
      <c r="AH27" s="186">
        <f>AH23-AH25-AH26+2</f>
        <v>-6897</v>
      </c>
      <c r="AI27" s="185">
        <f>AI23-AI25</f>
        <v>-1674</v>
      </c>
      <c r="AJ27" s="186">
        <f>AJ23-AJ25-AJ26</f>
        <v>-1852</v>
      </c>
      <c r="AK27" s="185">
        <f>AK23-AK25</f>
        <v>-2633</v>
      </c>
      <c r="AL27" s="186">
        <f>AL23-AL25-AL26</f>
        <v>-2772</v>
      </c>
      <c r="AM27" s="200">
        <f>AM23-AM25</f>
        <v>-7506</v>
      </c>
      <c r="AN27" s="186">
        <f>AN23-AN25-AN26+1</f>
        <v>-8149</v>
      </c>
      <c r="AO27" s="185">
        <f>AO23-AO25+1</f>
        <v>-3379</v>
      </c>
      <c r="AP27" s="186">
        <f>AP23-AP25-AP26-1</f>
        <v>-3817</v>
      </c>
      <c r="AQ27" s="200">
        <f>AQ23-AQ25+1</f>
        <v>-2358</v>
      </c>
      <c r="AR27" s="186">
        <f>AR23-AR25-AR26+2</f>
        <v>-3335</v>
      </c>
      <c r="AS27" s="185">
        <f>AS23-AS25</f>
        <v>-1916</v>
      </c>
      <c r="AT27" s="186">
        <f>AT23-AT25-AT26+1</f>
        <v>-3631</v>
      </c>
      <c r="AU27" s="200">
        <f>AU23-AU25+1</f>
        <v>-2521</v>
      </c>
      <c r="AV27" s="186">
        <f>AV23-AV25-AV26</f>
        <v>-3335</v>
      </c>
      <c r="AW27" s="185">
        <f>AW23-AW25-1</f>
        <v>948</v>
      </c>
      <c r="AX27" s="186">
        <f>AX23-AX25-AX26</f>
        <v>318</v>
      </c>
      <c r="AY27" s="200">
        <f>AY23-AY25</f>
        <v>483</v>
      </c>
      <c r="AZ27" s="186">
        <f>AZ23-AZ25-AZ26</f>
        <v>-324</v>
      </c>
      <c r="BA27" s="185">
        <f>BA23-BA25-1</f>
        <v>183</v>
      </c>
      <c r="BB27" s="186">
        <f>BB23-BB25-BB26</f>
        <v>504</v>
      </c>
      <c r="BC27" s="200">
        <f>BC23-BC25</f>
        <v>-830</v>
      </c>
      <c r="BD27" s="201">
        <f>BD23-BD25-BD26</f>
        <v>-903</v>
      </c>
      <c r="BE27" s="193">
        <f>BE23-BE25</f>
        <v>4787</v>
      </c>
      <c r="BF27" s="186">
        <f>BF23-BF25-BF26</f>
        <v>5781</v>
      </c>
      <c r="BG27" s="185">
        <f>BG23-BG25</f>
        <v>5422</v>
      </c>
      <c r="BH27" s="186">
        <f>BH23-BH25-BH26</f>
        <v>6572</v>
      </c>
      <c r="BI27" s="185">
        <f>BI23-BI25-1</f>
        <v>5734</v>
      </c>
      <c r="BJ27" s="186">
        <f>BJ23-BJ25-BJ26</f>
        <v>7834</v>
      </c>
      <c r="BK27" s="185">
        <f>BK23-BK25</f>
        <v>8790</v>
      </c>
      <c r="BL27" s="186">
        <f>BL23-BL25-BL26-1</f>
        <v>9567</v>
      </c>
      <c r="BM27" s="112">
        <f>BM23-BM25-1</f>
        <v>10857</v>
      </c>
      <c r="BN27" s="211">
        <f>BN23-BN25-BN26-1</f>
        <v>11943</v>
      </c>
      <c r="BO27" s="112">
        <f>BO23-BO25-1</f>
        <v>11681.252776000001</v>
      </c>
      <c r="BP27" s="149">
        <f>BP23-BP25-BP26-1</f>
        <v>11886</v>
      </c>
    </row>
    <row r="28" spans="1:68" ht="24" customHeight="1" thickBot="1">
      <c r="A28" s="124" t="s">
        <v>170</v>
      </c>
      <c r="B28" s="144">
        <f t="shared" ref="B28:D28" si="58">B27/B7</f>
        <v>8.6708947081287513E-2</v>
      </c>
      <c r="C28" s="145">
        <f t="shared" si="58"/>
        <v>4.4020455157151826E-2</v>
      </c>
      <c r="D28" s="145">
        <f t="shared" si="58"/>
        <v>3.0592734225621414E-2</v>
      </c>
      <c r="E28" s="145">
        <f t="shared" ref="E28:AD28" si="59">E27/E7</f>
        <v>5.2318517309540652E-2</v>
      </c>
      <c r="F28" s="145">
        <f t="shared" si="59"/>
        <v>3.5055617957172359E-2</v>
      </c>
      <c r="G28" s="145">
        <f t="shared" si="59"/>
        <v>2.9207087189115889E-2</v>
      </c>
      <c r="H28" s="145">
        <f t="shared" si="59"/>
        <v>3.2444869973438754E-2</v>
      </c>
      <c r="I28" s="145">
        <f t="shared" si="59"/>
        <v>2.5663727402160778E-2</v>
      </c>
      <c r="J28" s="145">
        <f t="shared" si="59"/>
        <v>2.4537363496026376E-2</v>
      </c>
      <c r="K28" s="145">
        <f t="shared" si="59"/>
        <v>2.7516912625239059E-2</v>
      </c>
      <c r="L28" s="145">
        <f t="shared" si="59"/>
        <v>3.024529268605098E-2</v>
      </c>
      <c r="M28" s="145">
        <f t="shared" si="59"/>
        <v>2.9119180271549985E-2</v>
      </c>
      <c r="N28" s="145">
        <f t="shared" si="59"/>
        <v>2.692647603842974E-2</v>
      </c>
      <c r="O28" s="145">
        <f t="shared" si="59"/>
        <v>2.5960354211246962E-2</v>
      </c>
      <c r="P28" s="145">
        <f t="shared" si="59"/>
        <v>1.3862912458484941E-2</v>
      </c>
      <c r="Q28" s="145">
        <f t="shared" si="59"/>
        <v>1.6331425873826976E-2</v>
      </c>
      <c r="R28" s="145" t="e">
        <f t="shared" si="59"/>
        <v>#DIV/0!</v>
      </c>
      <c r="S28" s="145">
        <f t="shared" si="59"/>
        <v>1.4677685140375273E-2</v>
      </c>
      <c r="T28" s="145">
        <f t="shared" si="59"/>
        <v>1.6000962463907604E-2</v>
      </c>
      <c r="U28" s="145">
        <f t="shared" si="59"/>
        <v>1.397556273031157E-2</v>
      </c>
      <c r="V28" s="145">
        <f t="shared" si="59"/>
        <v>1.3783288173632209E-2</v>
      </c>
      <c r="W28" s="145">
        <f t="shared" si="59"/>
        <v>1.6586704087889304E-2</v>
      </c>
      <c r="X28" s="145">
        <f t="shared" si="59"/>
        <v>1.1399104356086308E-2</v>
      </c>
      <c r="Y28" s="145">
        <f t="shared" si="59"/>
        <v>9.4238756091401914E-3</v>
      </c>
      <c r="Z28" s="145">
        <f t="shared" si="59"/>
        <v>9.5032768780049064E-3</v>
      </c>
      <c r="AA28" s="146">
        <f t="shared" si="59"/>
        <v>8.1825266256818768E-3</v>
      </c>
      <c r="AB28" s="144">
        <f t="shared" si="59"/>
        <v>6.2263565891472871E-3</v>
      </c>
      <c r="AC28" s="145">
        <f t="shared" si="59"/>
        <v>-0.10513998288418883</v>
      </c>
      <c r="AD28" s="145">
        <f t="shared" si="59"/>
        <v>1.3621534502255091E-2</v>
      </c>
      <c r="AE28" s="145">
        <f t="shared" ref="AE28:AN28" si="60">AE27/AE7</f>
        <v>-3.2324610561538587E-3</v>
      </c>
      <c r="AF28" s="190">
        <f t="shared" si="60"/>
        <v>-1.6424962670539386E-2</v>
      </c>
      <c r="AG28" s="145">
        <f t="shared" si="60"/>
        <v>-5.0971702683598991E-2</v>
      </c>
      <c r="AH28" s="190">
        <f t="shared" si="60"/>
        <v>-4.633741593491128E-2</v>
      </c>
      <c r="AI28" s="145">
        <f t="shared" si="60"/>
        <v>-1.5233553858893975E-2</v>
      </c>
      <c r="AJ28" s="190">
        <f t="shared" si="60"/>
        <v>-1.4114132422875259E-2</v>
      </c>
      <c r="AK28" s="145">
        <f t="shared" si="60"/>
        <v>-2.370150328562427E-2</v>
      </c>
      <c r="AL28" s="190">
        <f t="shared" si="60"/>
        <v>-2.1093321969927557E-2</v>
      </c>
      <c r="AM28" s="145">
        <f t="shared" si="60"/>
        <v>-7.0929089809495013E-2</v>
      </c>
      <c r="AN28" s="190">
        <f t="shared" si="60"/>
        <v>-6.3255864499402292E-2</v>
      </c>
      <c r="AO28" s="145">
        <f t="shared" ref="AO28:BJ28" si="61">AO27/AO7</f>
        <v>-2.506416247570727E-2</v>
      </c>
      <c r="AP28" s="190">
        <f t="shared" si="61"/>
        <v>-2.434404377718535E-2</v>
      </c>
      <c r="AQ28" s="145">
        <f t="shared" si="61"/>
        <v>-1.2264131316703768E-2</v>
      </c>
      <c r="AR28" s="190">
        <f t="shared" si="61"/>
        <v>-1.537064690374795E-2</v>
      </c>
      <c r="AS28" s="145">
        <f t="shared" si="61"/>
        <v>-9.8261953238387798E-3</v>
      </c>
      <c r="AT28" s="190">
        <f t="shared" si="61"/>
        <v>-1.6373335497806216E-2</v>
      </c>
      <c r="AU28" s="145">
        <f t="shared" si="61"/>
        <v>-1.5015068672646488E-2</v>
      </c>
      <c r="AV28" s="190">
        <f t="shared" si="61"/>
        <v>-1.7247175031675846E-2</v>
      </c>
      <c r="AW28" s="145">
        <f t="shared" si="61"/>
        <v>6.2217788512023524E-3</v>
      </c>
      <c r="AX28" s="190">
        <f t="shared" si="61"/>
        <v>1.8612818261633012E-3</v>
      </c>
      <c r="AY28" s="145">
        <f t="shared" si="61"/>
        <v>4.3434861197291395E-3</v>
      </c>
      <c r="AZ28" s="190">
        <f t="shared" si="61"/>
        <v>-2.4618003054455934E-3</v>
      </c>
      <c r="BA28" s="145">
        <f t="shared" si="61"/>
        <v>1.6129032258064516E-3</v>
      </c>
      <c r="BB28" s="190">
        <f t="shared" si="61"/>
        <v>3.5781477405842886E-3</v>
      </c>
      <c r="BC28" s="145">
        <f t="shared" si="61"/>
        <v>-6.2515534733781734E-3</v>
      </c>
      <c r="BD28" s="203">
        <f t="shared" si="61"/>
        <v>-5.8066631942434938E-3</v>
      </c>
      <c r="BE28" s="144">
        <f t="shared" si="61"/>
        <v>3.1535122102253635E-2</v>
      </c>
      <c r="BF28" s="190">
        <f t="shared" si="61"/>
        <v>3.1548271966732697E-2</v>
      </c>
      <c r="BG28" s="145">
        <f t="shared" si="61"/>
        <v>3.4497677673856336E-2</v>
      </c>
      <c r="BH28" s="190">
        <f t="shared" si="61"/>
        <v>3.4496514655244816E-2</v>
      </c>
      <c r="BI28" s="145">
        <f t="shared" si="61"/>
        <v>3.3405963436374864E-2</v>
      </c>
      <c r="BJ28" s="190">
        <f t="shared" si="61"/>
        <v>4.0368125979058457E-2</v>
      </c>
      <c r="BK28" s="145">
        <f t="shared" ref="BK28:BL28" si="62">BK27/BK7</f>
        <v>5.4301493754401568E-2</v>
      </c>
      <c r="BL28" s="190">
        <f t="shared" si="62"/>
        <v>4.9070094272847573E-2</v>
      </c>
      <c r="BM28" s="145">
        <f t="shared" ref="BM28:BN28" si="63">BM27/BM7</f>
        <v>6.249568280721144E-2</v>
      </c>
      <c r="BN28" s="213">
        <f t="shared" si="63"/>
        <v>5.5888326298351852E-2</v>
      </c>
      <c r="BO28" s="145">
        <f t="shared" ref="BO28:BP28" si="64">BO27/BO7</f>
        <v>6.5213583827872471E-2</v>
      </c>
      <c r="BP28" s="152">
        <f t="shared" si="64"/>
        <v>5.3774532424875808E-2</v>
      </c>
    </row>
    <row r="29" spans="1:68" ht="24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94" t="s">
        <v>727</v>
      </c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205"/>
      <c r="AF29" s="205"/>
      <c r="AG29" s="205"/>
      <c r="AH29" s="205"/>
      <c r="AI29" s="205"/>
      <c r="AJ29" s="205"/>
      <c r="AK29" s="205"/>
      <c r="AL29" s="205"/>
      <c r="AM29" s="205"/>
      <c r="AN29" s="205"/>
      <c r="AO29" s="205"/>
      <c r="AP29" s="205"/>
      <c r="AQ29" s="205"/>
      <c r="AR29" s="205"/>
      <c r="AS29" s="205"/>
      <c r="AT29" s="205"/>
      <c r="AU29" s="205"/>
      <c r="AV29" s="205"/>
      <c r="AW29" s="69"/>
      <c r="AX29" s="69"/>
      <c r="AY29" s="69"/>
      <c r="AZ29" s="69"/>
      <c r="BA29" s="69"/>
      <c r="BB29" s="69"/>
      <c r="BC29" s="69"/>
      <c r="BD29" s="69"/>
      <c r="BE29" s="69"/>
    </row>
    <row r="30" spans="1:68" ht="24" customHeight="1">
      <c r="A30" s="4"/>
      <c r="B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205"/>
      <c r="AF30" s="205"/>
      <c r="AG30" s="205"/>
      <c r="AH30" s="205"/>
      <c r="AI30" s="205"/>
      <c r="AJ30" s="205"/>
      <c r="AK30" s="205"/>
      <c r="AL30" s="205"/>
      <c r="AM30" s="205"/>
      <c r="AN30" s="205"/>
      <c r="AO30" s="205"/>
      <c r="AP30" s="205"/>
      <c r="AQ30" s="205"/>
      <c r="AR30" s="205"/>
      <c r="AS30" s="205"/>
      <c r="AT30" s="205"/>
      <c r="AU30" s="205"/>
      <c r="AV30" s="205"/>
      <c r="AW30" s="69"/>
      <c r="AX30" s="69"/>
      <c r="AY30" s="69"/>
      <c r="AZ30" s="69"/>
      <c r="BA30" s="69"/>
      <c r="BB30" s="69"/>
      <c r="BC30" s="69"/>
      <c r="BD30" s="69"/>
      <c r="BE30" s="69"/>
    </row>
    <row r="31" spans="1:68" ht="24" customHeight="1">
      <c r="A31" s="99" t="s">
        <v>728</v>
      </c>
      <c r="B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68" ht="24" customHeight="1" thickBot="1">
      <c r="A32" s="67"/>
      <c r="B32" s="67"/>
      <c r="C32" s="166" t="s">
        <v>729</v>
      </c>
      <c r="Q32" s="166" t="s">
        <v>729</v>
      </c>
    </row>
    <row r="33" spans="1:27" ht="24" customHeight="1">
      <c r="A33" s="101" t="s">
        <v>730</v>
      </c>
      <c r="B33" s="663" t="s">
        <v>520</v>
      </c>
      <c r="C33" s="167" t="s">
        <v>488</v>
      </c>
      <c r="D33" s="215" t="s">
        <v>516</v>
      </c>
      <c r="E33" s="157" t="s">
        <v>515</v>
      </c>
      <c r="F33" s="157" t="s">
        <v>514</v>
      </c>
      <c r="G33" s="157" t="s">
        <v>513</v>
      </c>
      <c r="H33" s="157" t="s">
        <v>512</v>
      </c>
      <c r="I33" s="157" t="s">
        <v>511</v>
      </c>
      <c r="J33" s="157" t="s">
        <v>510</v>
      </c>
      <c r="K33" s="157" t="s">
        <v>509</v>
      </c>
      <c r="L33" s="157" t="s">
        <v>508</v>
      </c>
      <c r="M33" s="158" t="s">
        <v>507</v>
      </c>
      <c r="N33" s="101" t="s">
        <v>731</v>
      </c>
      <c r="O33" s="67"/>
      <c r="P33" s="666" t="s">
        <v>520</v>
      </c>
      <c r="Q33" s="171" t="s">
        <v>516</v>
      </c>
      <c r="R33" s="215" t="s">
        <v>516</v>
      </c>
      <c r="S33" s="157" t="s">
        <v>515</v>
      </c>
      <c r="T33" s="157" t="s">
        <v>514</v>
      </c>
      <c r="U33" s="157" t="s">
        <v>513</v>
      </c>
      <c r="V33" s="157" t="s">
        <v>512</v>
      </c>
      <c r="W33" s="157" t="s">
        <v>511</v>
      </c>
      <c r="X33" s="157" t="s">
        <v>510</v>
      </c>
      <c r="Y33" s="157" t="s">
        <v>509</v>
      </c>
      <c r="Z33" s="157" t="s">
        <v>508</v>
      </c>
      <c r="AA33" s="158" t="s">
        <v>507</v>
      </c>
    </row>
    <row r="34" spans="1:27" ht="24" customHeight="1" thickBot="1">
      <c r="A34" s="102" t="s">
        <v>526</v>
      </c>
      <c r="B34" s="664"/>
      <c r="C34" s="170">
        <v>300224</v>
      </c>
      <c r="D34" s="219">
        <v>170669</v>
      </c>
      <c r="E34" s="220">
        <v>248977</v>
      </c>
      <c r="F34" s="159">
        <v>203975</v>
      </c>
      <c r="G34" s="159">
        <v>202665</v>
      </c>
      <c r="H34" s="159">
        <v>166360</v>
      </c>
      <c r="I34" s="159">
        <v>179694</v>
      </c>
      <c r="J34" s="159">
        <v>130388</v>
      </c>
      <c r="K34" s="159">
        <v>129218</v>
      </c>
      <c r="L34" s="159">
        <v>118147</v>
      </c>
      <c r="M34" s="160">
        <v>114661</v>
      </c>
      <c r="N34" s="101"/>
      <c r="O34" s="67"/>
      <c r="P34" s="667"/>
      <c r="Q34" s="172">
        <v>23630</v>
      </c>
      <c r="R34" s="216">
        <v>23630</v>
      </c>
      <c r="S34" s="155">
        <v>23487</v>
      </c>
      <c r="T34" s="155">
        <v>16398</v>
      </c>
      <c r="U34" s="155">
        <v>13168</v>
      </c>
      <c r="V34" s="155">
        <v>12993</v>
      </c>
      <c r="W34" s="155">
        <v>9070</v>
      </c>
      <c r="X34" s="155">
        <v>7834</v>
      </c>
      <c r="Y34" s="155">
        <v>9353</v>
      </c>
      <c r="Z34" s="155">
        <v>9905</v>
      </c>
      <c r="AA34" s="162">
        <v>10275</v>
      </c>
    </row>
    <row r="35" spans="1:27" ht="24" customHeight="1">
      <c r="A35" s="67"/>
      <c r="B35" s="100"/>
      <c r="C35" s="103"/>
      <c r="D35" s="84"/>
      <c r="E35" s="84"/>
      <c r="F35" s="84"/>
      <c r="G35" s="84"/>
      <c r="H35" s="84"/>
      <c r="I35" s="84"/>
      <c r="J35" s="84"/>
      <c r="K35" s="84"/>
      <c r="L35" s="84"/>
      <c r="N35" s="101"/>
      <c r="O35" s="67"/>
      <c r="P35" s="658" t="s">
        <v>521</v>
      </c>
      <c r="Q35" s="173" t="s">
        <v>516</v>
      </c>
      <c r="R35" s="217" t="s">
        <v>516</v>
      </c>
      <c r="S35" s="82" t="s">
        <v>515</v>
      </c>
      <c r="T35" s="82" t="s">
        <v>514</v>
      </c>
      <c r="U35" s="82" t="s">
        <v>513</v>
      </c>
      <c r="V35" s="82" t="s">
        <v>512</v>
      </c>
      <c r="W35" s="82" t="s">
        <v>511</v>
      </c>
      <c r="X35" s="82" t="s">
        <v>510</v>
      </c>
      <c r="Y35" s="82" t="s">
        <v>509</v>
      </c>
      <c r="Z35" s="82" t="s">
        <v>508</v>
      </c>
      <c r="AA35" s="163" t="s">
        <v>507</v>
      </c>
    </row>
    <row r="36" spans="1:27" ht="24" customHeight="1" thickBot="1">
      <c r="A36" s="67"/>
      <c r="B36" s="67"/>
      <c r="C36" s="84"/>
      <c r="D36" s="84"/>
      <c r="E36" s="84"/>
      <c r="F36" s="84"/>
      <c r="G36" s="84"/>
      <c r="H36" s="84"/>
      <c r="I36" s="84"/>
      <c r="J36" s="84"/>
      <c r="K36" s="84"/>
      <c r="L36" s="84"/>
      <c r="N36" s="101"/>
      <c r="O36" s="67"/>
      <c r="P36" s="659"/>
      <c r="Q36" s="174">
        <v>29980</v>
      </c>
      <c r="R36" s="218">
        <v>29980</v>
      </c>
      <c r="S36" s="164">
        <v>29796</v>
      </c>
      <c r="T36" s="164">
        <v>21133</v>
      </c>
      <c r="U36" s="164">
        <v>16556</v>
      </c>
      <c r="V36" s="164">
        <v>17146</v>
      </c>
      <c r="W36" s="164">
        <v>13158</v>
      </c>
      <c r="X36" s="164">
        <v>10265</v>
      </c>
      <c r="Y36" s="164">
        <v>12447</v>
      </c>
      <c r="Z36" s="164">
        <v>11515</v>
      </c>
      <c r="AA36" s="165">
        <v>12145</v>
      </c>
    </row>
    <row r="37" spans="1:27" ht="24" customHeight="1">
      <c r="N37" s="101"/>
      <c r="O37" s="67"/>
      <c r="P37" s="89"/>
      <c r="Q37" s="84"/>
      <c r="R37" s="156"/>
      <c r="S37" s="156"/>
      <c r="T37" s="156"/>
      <c r="U37" s="156"/>
      <c r="V37" s="156"/>
      <c r="W37" s="156"/>
      <c r="X37" s="156"/>
      <c r="Y37" s="156"/>
      <c r="Z37" s="156"/>
      <c r="AA37" s="156"/>
    </row>
    <row r="38" spans="1:27" ht="24" customHeight="1" thickBot="1">
      <c r="A38" s="67"/>
      <c r="B38" s="67"/>
      <c r="C38" s="166" t="s">
        <v>729</v>
      </c>
      <c r="D38" s="75"/>
      <c r="E38" s="75"/>
      <c r="F38" s="75"/>
      <c r="G38" s="75"/>
      <c r="H38" s="75"/>
      <c r="I38" s="75"/>
      <c r="J38" s="75"/>
      <c r="K38" s="75"/>
      <c r="L38" s="75"/>
      <c r="N38" s="101"/>
      <c r="O38" s="67"/>
      <c r="P38" s="75"/>
      <c r="Q38" s="166" t="s">
        <v>729</v>
      </c>
      <c r="R38" s="85"/>
      <c r="S38" s="85"/>
      <c r="T38" s="85"/>
      <c r="U38" s="85"/>
      <c r="V38" s="85"/>
      <c r="W38" s="85"/>
      <c r="X38" s="85"/>
      <c r="Y38" s="85"/>
      <c r="Z38" s="85"/>
      <c r="AA38" s="85"/>
    </row>
    <row r="39" spans="1:27" ht="24" customHeight="1">
      <c r="A39" s="101" t="s">
        <v>732</v>
      </c>
      <c r="B39" s="666" t="s">
        <v>520</v>
      </c>
      <c r="C39" s="167" t="s">
        <v>505</v>
      </c>
      <c r="D39" s="215" t="s">
        <v>516</v>
      </c>
      <c r="E39" s="157" t="s">
        <v>515</v>
      </c>
      <c r="F39" s="157" t="s">
        <v>514</v>
      </c>
      <c r="G39" s="157" t="s">
        <v>513</v>
      </c>
      <c r="H39" s="157" t="s">
        <v>512</v>
      </c>
      <c r="I39" s="157" t="s">
        <v>511</v>
      </c>
      <c r="J39" s="157" t="s">
        <v>510</v>
      </c>
      <c r="K39" s="157" t="s">
        <v>509</v>
      </c>
      <c r="L39" s="157" t="s">
        <v>508</v>
      </c>
      <c r="M39" s="158" t="s">
        <v>507</v>
      </c>
      <c r="N39" s="101" t="s">
        <v>733</v>
      </c>
      <c r="O39" s="67"/>
      <c r="P39" s="660" t="s">
        <v>520</v>
      </c>
      <c r="Q39" s="171" t="s">
        <v>515</v>
      </c>
      <c r="R39" s="215" t="s">
        <v>516</v>
      </c>
      <c r="S39" s="157" t="s">
        <v>515</v>
      </c>
      <c r="T39" s="157" t="s">
        <v>514</v>
      </c>
      <c r="U39" s="157" t="s">
        <v>513</v>
      </c>
      <c r="V39" s="157" t="s">
        <v>512</v>
      </c>
      <c r="W39" s="157" t="s">
        <v>511</v>
      </c>
      <c r="X39" s="157" t="s">
        <v>510</v>
      </c>
      <c r="Y39" s="157" t="s">
        <v>509</v>
      </c>
      <c r="Z39" s="157" t="s">
        <v>508</v>
      </c>
      <c r="AA39" s="158" t="s">
        <v>507</v>
      </c>
    </row>
    <row r="40" spans="1:27" ht="24" customHeight="1">
      <c r="B40" s="667"/>
      <c r="C40" s="168">
        <v>194989</v>
      </c>
      <c r="D40" s="216">
        <v>179123</v>
      </c>
      <c r="E40" s="155">
        <v>173724</v>
      </c>
      <c r="F40" s="155">
        <v>161874</v>
      </c>
      <c r="G40" s="155">
        <v>171646</v>
      </c>
      <c r="H40" s="155">
        <v>157170</v>
      </c>
      <c r="I40" s="155">
        <v>151799</v>
      </c>
      <c r="J40" s="155">
        <v>132767</v>
      </c>
      <c r="K40" s="155">
        <v>113460</v>
      </c>
      <c r="L40" s="155">
        <v>111201</v>
      </c>
      <c r="M40" s="162">
        <v>152368</v>
      </c>
      <c r="N40" s="101"/>
      <c r="O40" s="67"/>
      <c r="P40" s="661"/>
      <c r="Q40" s="172">
        <v>15047</v>
      </c>
      <c r="R40" s="216">
        <v>14098</v>
      </c>
      <c r="S40" s="155">
        <v>15047</v>
      </c>
      <c r="T40" s="155">
        <v>8216</v>
      </c>
      <c r="U40" s="155">
        <v>4770</v>
      </c>
      <c r="V40" s="155">
        <v>5207</v>
      </c>
      <c r="W40" s="155">
        <v>1621</v>
      </c>
      <c r="X40" s="155">
        <v>823</v>
      </c>
      <c r="Y40" s="155">
        <v>2129</v>
      </c>
      <c r="Z40" s="155">
        <v>1709</v>
      </c>
      <c r="AA40" s="162">
        <v>1739</v>
      </c>
    </row>
    <row r="41" spans="1:27" ht="24" customHeight="1">
      <c r="A41" s="67"/>
      <c r="B41" s="658" t="s">
        <v>521</v>
      </c>
      <c r="C41" s="169" t="s">
        <v>505</v>
      </c>
      <c r="D41" s="217" t="s">
        <v>516</v>
      </c>
      <c r="E41" s="82" t="s">
        <v>515</v>
      </c>
      <c r="F41" s="82" t="s">
        <v>514</v>
      </c>
      <c r="G41" s="82" t="s">
        <v>513</v>
      </c>
      <c r="H41" s="82" t="s">
        <v>512</v>
      </c>
      <c r="I41" s="82" t="s">
        <v>511</v>
      </c>
      <c r="J41" s="82" t="s">
        <v>510</v>
      </c>
      <c r="K41" s="82" t="s">
        <v>509</v>
      </c>
      <c r="L41" s="82" t="s">
        <v>508</v>
      </c>
      <c r="M41" s="163" t="s">
        <v>507</v>
      </c>
      <c r="N41" s="101"/>
      <c r="O41" s="67"/>
      <c r="P41" s="661" t="s">
        <v>521</v>
      </c>
      <c r="Q41" s="173" t="s">
        <v>515</v>
      </c>
      <c r="R41" s="217" t="s">
        <v>516</v>
      </c>
      <c r="S41" s="82" t="s">
        <v>515</v>
      </c>
      <c r="T41" s="82" t="s">
        <v>514</v>
      </c>
      <c r="U41" s="82" t="s">
        <v>513</v>
      </c>
      <c r="V41" s="82" t="s">
        <v>512</v>
      </c>
      <c r="W41" s="82" t="s">
        <v>511</v>
      </c>
      <c r="X41" s="82" t="s">
        <v>510</v>
      </c>
      <c r="Y41" s="82" t="s">
        <v>509</v>
      </c>
      <c r="Z41" s="82" t="s">
        <v>508</v>
      </c>
      <c r="AA41" s="163" t="s">
        <v>507</v>
      </c>
    </row>
    <row r="42" spans="1:27" ht="24" customHeight="1" thickBot="1">
      <c r="A42" s="67"/>
      <c r="B42" s="659"/>
      <c r="C42" s="170">
        <v>221763</v>
      </c>
      <c r="D42" s="218">
        <v>221034</v>
      </c>
      <c r="E42" s="164">
        <v>213694</v>
      </c>
      <c r="F42" s="164">
        <v>194966</v>
      </c>
      <c r="G42" s="164">
        <v>194064</v>
      </c>
      <c r="H42" s="164">
        <v>190512</v>
      </c>
      <c r="I42" s="164">
        <v>183243</v>
      </c>
      <c r="J42" s="164">
        <v>155511</v>
      </c>
      <c r="K42" s="164">
        <v>140855</v>
      </c>
      <c r="L42" s="164">
        <v>131611</v>
      </c>
      <c r="M42" s="165">
        <v>170850</v>
      </c>
      <c r="N42" s="101"/>
      <c r="O42" s="67"/>
      <c r="P42" s="662"/>
      <c r="Q42" s="174">
        <v>17836</v>
      </c>
      <c r="R42" s="218">
        <v>16770</v>
      </c>
      <c r="S42" s="164">
        <v>17836</v>
      </c>
      <c r="T42" s="164">
        <v>9682</v>
      </c>
      <c r="U42" s="164">
        <v>6265</v>
      </c>
      <c r="V42" s="164">
        <v>6280</v>
      </c>
      <c r="W42" s="164">
        <v>2696</v>
      </c>
      <c r="X42" s="164">
        <v>540</v>
      </c>
      <c r="Y42" s="164">
        <v>2497</v>
      </c>
      <c r="Z42" s="164">
        <v>703</v>
      </c>
      <c r="AA42" s="165">
        <v>814</v>
      </c>
    </row>
    <row r="43" spans="1:27" ht="24" customHeight="1">
      <c r="N43" s="101"/>
      <c r="O43" s="67"/>
      <c r="P43" s="89"/>
      <c r="Q43" s="175"/>
      <c r="R43" s="156"/>
      <c r="S43" s="156"/>
      <c r="T43" s="156"/>
      <c r="U43" s="156"/>
      <c r="V43" s="156"/>
      <c r="W43" s="156"/>
      <c r="X43" s="156"/>
      <c r="Y43" s="156"/>
      <c r="Z43" s="156"/>
      <c r="AA43" s="156"/>
    </row>
    <row r="44" spans="1:27" ht="24" customHeight="1" thickBot="1">
      <c r="N44" s="101"/>
      <c r="O44" s="67"/>
      <c r="P44" s="75"/>
      <c r="Q44" s="166" t="s">
        <v>729</v>
      </c>
      <c r="R44" s="85"/>
      <c r="S44" s="85"/>
      <c r="T44" s="85"/>
      <c r="U44" s="85"/>
      <c r="V44" s="85"/>
      <c r="W44" s="85"/>
      <c r="X44" s="85"/>
      <c r="Y44" s="85"/>
      <c r="Z44" s="85"/>
      <c r="AA44" s="85"/>
    </row>
    <row r="45" spans="1:27" ht="24" customHeight="1">
      <c r="N45" s="101" t="s">
        <v>734</v>
      </c>
      <c r="O45" s="67"/>
      <c r="P45" s="660" t="s">
        <v>520</v>
      </c>
      <c r="Q45" s="176" t="s">
        <v>515</v>
      </c>
      <c r="R45" s="215" t="s">
        <v>516</v>
      </c>
      <c r="S45" s="157" t="s">
        <v>515</v>
      </c>
      <c r="T45" s="157" t="s">
        <v>514</v>
      </c>
      <c r="U45" s="157" t="s">
        <v>513</v>
      </c>
      <c r="V45" s="157" t="s">
        <v>512</v>
      </c>
      <c r="W45" s="157" t="s">
        <v>511</v>
      </c>
      <c r="X45" s="157" t="s">
        <v>510</v>
      </c>
      <c r="Y45" s="157" t="s">
        <v>509</v>
      </c>
      <c r="Z45" s="157" t="s">
        <v>508</v>
      </c>
      <c r="AA45" s="158" t="s">
        <v>507</v>
      </c>
    </row>
    <row r="46" spans="1:27" ht="24" customHeight="1">
      <c r="N46" s="67"/>
      <c r="O46" s="67"/>
      <c r="P46" s="661"/>
      <c r="Q46" s="172">
        <v>16699</v>
      </c>
      <c r="R46" s="216">
        <v>16192</v>
      </c>
      <c r="S46" s="155">
        <v>16699</v>
      </c>
      <c r="T46" s="155">
        <v>9722</v>
      </c>
      <c r="U46" s="155">
        <v>5971</v>
      </c>
      <c r="V46" s="155">
        <v>6163</v>
      </c>
      <c r="W46" s="155">
        <v>2123</v>
      </c>
      <c r="X46" s="155">
        <v>243</v>
      </c>
      <c r="Y46" s="155">
        <v>1235</v>
      </c>
      <c r="Z46" s="155">
        <v>910</v>
      </c>
      <c r="AA46" s="162">
        <v>1817</v>
      </c>
    </row>
    <row r="47" spans="1:27" ht="24" customHeight="1">
      <c r="N47" s="67"/>
      <c r="O47" s="67"/>
      <c r="P47" s="661" t="s">
        <v>521</v>
      </c>
      <c r="Q47" s="173" t="s">
        <v>515</v>
      </c>
      <c r="R47" s="217" t="s">
        <v>516</v>
      </c>
      <c r="S47" s="82" t="s">
        <v>515</v>
      </c>
      <c r="T47" s="82" t="s">
        <v>514</v>
      </c>
      <c r="U47" s="82" t="s">
        <v>513</v>
      </c>
      <c r="V47" s="82" t="s">
        <v>512</v>
      </c>
      <c r="W47" s="82" t="s">
        <v>511</v>
      </c>
      <c r="X47" s="82" t="s">
        <v>510</v>
      </c>
      <c r="Y47" s="82" t="s">
        <v>509</v>
      </c>
      <c r="Z47" s="82" t="s">
        <v>508</v>
      </c>
      <c r="AA47" s="163" t="s">
        <v>507</v>
      </c>
    </row>
    <row r="48" spans="1:27" ht="24" customHeight="1" thickBot="1">
      <c r="N48" s="67"/>
      <c r="O48" s="67"/>
      <c r="P48" s="662"/>
      <c r="Q48" s="174">
        <v>19239</v>
      </c>
      <c r="R48" s="218">
        <v>17774</v>
      </c>
      <c r="S48" s="164">
        <v>19239</v>
      </c>
      <c r="T48" s="164">
        <v>11671</v>
      </c>
      <c r="U48" s="164">
        <v>8398</v>
      </c>
      <c r="V48" s="164">
        <v>7961</v>
      </c>
      <c r="W48" s="164">
        <v>3824</v>
      </c>
      <c r="X48" s="164">
        <v>198</v>
      </c>
      <c r="Y48" s="164">
        <v>1680</v>
      </c>
      <c r="Z48" s="177">
        <v>-209</v>
      </c>
      <c r="AA48" s="178">
        <v>718</v>
      </c>
    </row>
    <row r="49" spans="1:59" ht="24" customHeight="1">
      <c r="N49" s="67"/>
      <c r="O49" s="67"/>
      <c r="P49" s="89"/>
      <c r="Q49" s="175"/>
      <c r="R49" s="156"/>
      <c r="S49" s="156"/>
      <c r="T49" s="156"/>
      <c r="U49" s="156"/>
      <c r="V49" s="156"/>
      <c r="W49" s="156"/>
      <c r="X49" s="156"/>
      <c r="Y49" s="156"/>
      <c r="Z49" s="156"/>
      <c r="AA49" s="156"/>
    </row>
    <row r="50" spans="1:59" ht="24" customHeight="1" thickBot="1">
      <c r="N50" s="67"/>
      <c r="O50" s="67"/>
      <c r="P50" s="75"/>
      <c r="Q50" s="166" t="s">
        <v>729</v>
      </c>
      <c r="R50" s="85"/>
      <c r="S50" s="85"/>
      <c r="T50" s="85"/>
      <c r="U50" s="85"/>
      <c r="V50" s="85"/>
      <c r="W50" s="85"/>
      <c r="X50" s="85"/>
      <c r="Y50" s="85"/>
      <c r="Z50" s="85"/>
      <c r="AA50" s="85"/>
    </row>
    <row r="51" spans="1:59" ht="24" customHeight="1">
      <c r="N51" s="101" t="s">
        <v>735</v>
      </c>
      <c r="O51" s="67"/>
      <c r="P51" s="660" t="s">
        <v>520</v>
      </c>
      <c r="Q51" s="176" t="s">
        <v>516</v>
      </c>
      <c r="R51" s="215" t="s">
        <v>516</v>
      </c>
      <c r="S51" s="157" t="s">
        <v>515</v>
      </c>
      <c r="T51" s="157" t="s">
        <v>514</v>
      </c>
      <c r="U51" s="157" t="s">
        <v>513</v>
      </c>
      <c r="V51" s="157" t="s">
        <v>512</v>
      </c>
      <c r="W51" s="157" t="s">
        <v>511</v>
      </c>
      <c r="X51" s="157" t="s">
        <v>510</v>
      </c>
      <c r="Y51" s="157" t="s">
        <v>509</v>
      </c>
      <c r="Z51" s="157" t="s">
        <v>508</v>
      </c>
      <c r="AA51" s="158" t="s">
        <v>507</v>
      </c>
    </row>
    <row r="52" spans="1:59" ht="24" customHeight="1">
      <c r="N52" s="67"/>
      <c r="O52" s="67"/>
      <c r="P52" s="661"/>
      <c r="Q52" s="172">
        <v>11681</v>
      </c>
      <c r="R52" s="161">
        <v>11681</v>
      </c>
      <c r="S52" s="155">
        <v>10857</v>
      </c>
      <c r="T52" s="155">
        <v>8790</v>
      </c>
      <c r="U52" s="155">
        <v>5734</v>
      </c>
      <c r="V52" s="155">
        <v>5422</v>
      </c>
      <c r="W52" s="155">
        <v>4787</v>
      </c>
      <c r="X52" s="179">
        <v>-830</v>
      </c>
      <c r="Y52" s="179">
        <v>183</v>
      </c>
      <c r="Z52" s="179">
        <v>483</v>
      </c>
      <c r="AA52" s="180">
        <v>949</v>
      </c>
    </row>
    <row r="53" spans="1:59" ht="24" customHeight="1">
      <c r="N53" s="67"/>
      <c r="O53" s="67"/>
      <c r="P53" s="661" t="s">
        <v>521</v>
      </c>
      <c r="Q53" s="173" t="s">
        <v>515</v>
      </c>
      <c r="R53" s="221" t="s">
        <v>516</v>
      </c>
      <c r="S53" s="82" t="s">
        <v>515</v>
      </c>
      <c r="T53" s="82" t="s">
        <v>514</v>
      </c>
      <c r="U53" s="82" t="s">
        <v>513</v>
      </c>
      <c r="V53" s="82" t="s">
        <v>512</v>
      </c>
      <c r="W53" s="82" t="s">
        <v>511</v>
      </c>
      <c r="X53" s="82" t="s">
        <v>510</v>
      </c>
      <c r="Y53" s="82" t="s">
        <v>509</v>
      </c>
      <c r="Z53" s="82" t="s">
        <v>508</v>
      </c>
      <c r="AA53" s="163" t="s">
        <v>507</v>
      </c>
    </row>
    <row r="54" spans="1:59" ht="24" customHeight="1" thickBot="1">
      <c r="N54" s="67"/>
      <c r="O54" s="67"/>
      <c r="P54" s="662"/>
      <c r="Q54" s="174">
        <v>11943</v>
      </c>
      <c r="R54" s="218">
        <v>11886</v>
      </c>
      <c r="S54" s="164">
        <v>11943</v>
      </c>
      <c r="T54" s="164">
        <v>9567</v>
      </c>
      <c r="U54" s="164">
        <v>7834</v>
      </c>
      <c r="V54" s="164">
        <v>6572</v>
      </c>
      <c r="W54" s="164">
        <v>5781</v>
      </c>
      <c r="X54" s="177">
        <v>-903</v>
      </c>
      <c r="Y54" s="177">
        <v>504</v>
      </c>
      <c r="Z54" s="177">
        <v>-324</v>
      </c>
      <c r="AA54" s="178">
        <v>318</v>
      </c>
      <c r="AQ54" s="67"/>
      <c r="AR54" s="67"/>
      <c r="AX54" s="86"/>
      <c r="AY54" s="86"/>
      <c r="AZ54" s="86"/>
      <c r="BA54" s="86"/>
      <c r="BB54" s="86"/>
      <c r="BC54" s="86"/>
      <c r="BD54" s="86"/>
      <c r="BE54" s="86"/>
      <c r="BF54" s="86"/>
      <c r="BG54" s="86"/>
    </row>
    <row r="55" spans="1:59" ht="24" customHeight="1">
      <c r="Q55" s="103"/>
      <c r="R55" s="85"/>
      <c r="S55" s="85"/>
      <c r="T55" s="85"/>
      <c r="U55" s="67"/>
      <c r="V55" s="67"/>
      <c r="W55" s="67"/>
      <c r="X55" s="67"/>
      <c r="Y55" s="67"/>
      <c r="Z55" s="67"/>
      <c r="AA55" s="67"/>
      <c r="AL55" s="67"/>
      <c r="AM55" s="67"/>
      <c r="AN55" s="67"/>
      <c r="AO55" s="67"/>
      <c r="AP55" s="67"/>
      <c r="AQ55" s="67"/>
      <c r="AR55" s="67"/>
      <c r="AX55" s="86"/>
      <c r="AY55" s="86"/>
      <c r="AZ55" s="86"/>
      <c r="BA55" s="86"/>
      <c r="BB55" s="86"/>
      <c r="BC55" s="86"/>
      <c r="BD55" s="86"/>
      <c r="BE55" s="86"/>
      <c r="BF55" s="86"/>
      <c r="BG55" s="86"/>
    </row>
    <row r="56" spans="1:59" ht="24" customHeight="1"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X56" s="86"/>
      <c r="AY56" s="86"/>
      <c r="AZ56" s="86"/>
      <c r="BA56" s="86"/>
      <c r="BB56" s="86"/>
      <c r="BC56" s="86"/>
      <c r="BD56" s="86"/>
      <c r="BE56" s="86"/>
      <c r="BF56" s="86"/>
      <c r="BG56" s="86"/>
    </row>
    <row r="57" spans="1:59" ht="24" customHeight="1"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X57" s="86"/>
      <c r="AY57" s="86"/>
      <c r="AZ57" s="86"/>
      <c r="BA57" s="86"/>
      <c r="BB57" s="86"/>
      <c r="BC57" s="86"/>
      <c r="BD57" s="86"/>
      <c r="BE57" s="86"/>
      <c r="BF57" s="86"/>
      <c r="BG57" s="86"/>
    </row>
    <row r="58" spans="1:59" ht="24" customHeight="1"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</row>
    <row r="59" spans="1:59" ht="24" customHeight="1"/>
    <row r="60" spans="1:59" ht="24" customHeight="1"/>
    <row r="61" spans="1:59" ht="24" customHeight="1"/>
    <row r="62" spans="1:59" ht="24" customHeight="1"/>
    <row r="63" spans="1:59" ht="24" hidden="1" customHeight="1"/>
    <row r="64" spans="1:59" ht="24" hidden="1" customHeight="1">
      <c r="A64" s="76" t="s">
        <v>736</v>
      </c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AB64" s="76"/>
      <c r="AC64" s="76"/>
      <c r="AD64" s="76"/>
      <c r="AE64" s="68"/>
      <c r="AF64" s="208"/>
      <c r="AG64" s="208"/>
    </row>
    <row r="65" spans="1:64" ht="24" hidden="1" customHeight="1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AB65" s="12"/>
      <c r="AC65" s="12"/>
      <c r="AD65" s="12"/>
      <c r="AE65" s="648" t="s">
        <v>612</v>
      </c>
      <c r="AF65" s="648"/>
      <c r="AG65" s="648" t="s">
        <v>613</v>
      </c>
      <c r="AH65" s="648"/>
      <c r="AI65" s="648" t="s">
        <v>614</v>
      </c>
      <c r="AJ65" s="648"/>
      <c r="AK65" s="648" t="s">
        <v>615</v>
      </c>
      <c r="AL65" s="648"/>
      <c r="AM65" s="648" t="s">
        <v>616</v>
      </c>
      <c r="AN65" s="648"/>
      <c r="AO65" s="648" t="s">
        <v>617</v>
      </c>
      <c r="AP65" s="648"/>
      <c r="AQ65" s="648" t="s">
        <v>618</v>
      </c>
      <c r="AR65" s="648"/>
      <c r="AS65" s="648" t="s">
        <v>619</v>
      </c>
      <c r="AT65" s="648"/>
      <c r="AU65" s="648" t="s">
        <v>620</v>
      </c>
      <c r="AV65" s="648"/>
      <c r="AW65" s="648" t="s">
        <v>621</v>
      </c>
      <c r="AX65" s="648"/>
      <c r="AY65" s="648" t="s">
        <v>622</v>
      </c>
      <c r="AZ65" s="648"/>
      <c r="BA65" s="648" t="s">
        <v>623</v>
      </c>
      <c r="BB65" s="648"/>
      <c r="BC65" s="648" t="s">
        <v>624</v>
      </c>
      <c r="BD65" s="648"/>
      <c r="BE65" s="648" t="s">
        <v>625</v>
      </c>
      <c r="BF65" s="648"/>
      <c r="BG65" s="648" t="s">
        <v>626</v>
      </c>
      <c r="BH65" s="648"/>
      <c r="BI65" s="648" t="s">
        <v>627</v>
      </c>
      <c r="BJ65" s="648"/>
      <c r="BK65" s="648" t="s">
        <v>627</v>
      </c>
      <c r="BL65" s="648"/>
    </row>
    <row r="66" spans="1:64" ht="24" hidden="1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AB66" s="3"/>
      <c r="AC66" s="3"/>
      <c r="AD66" s="3"/>
      <c r="AE66" s="652" t="s">
        <v>737</v>
      </c>
      <c r="AF66" s="652"/>
      <c r="AG66" s="652" t="s">
        <v>738</v>
      </c>
      <c r="AH66" s="652"/>
      <c r="AI66" s="652" t="s">
        <v>739</v>
      </c>
      <c r="AJ66" s="652"/>
      <c r="AK66" s="652" t="s">
        <v>740</v>
      </c>
      <c r="AL66" s="652"/>
      <c r="AM66" s="652" t="s">
        <v>741</v>
      </c>
      <c r="AN66" s="652"/>
      <c r="AO66" s="652" t="s">
        <v>742</v>
      </c>
      <c r="AP66" s="652"/>
      <c r="AQ66" s="652" t="s">
        <v>743</v>
      </c>
      <c r="AR66" s="652"/>
      <c r="AS66" s="652" t="s">
        <v>744</v>
      </c>
      <c r="AT66" s="652"/>
      <c r="AU66" s="652" t="s">
        <v>745</v>
      </c>
      <c r="AV66" s="652"/>
      <c r="AW66" s="652" t="s">
        <v>746</v>
      </c>
      <c r="AX66" s="652"/>
      <c r="AY66" s="652" t="s">
        <v>747</v>
      </c>
      <c r="AZ66" s="652"/>
      <c r="BA66" s="652" t="s">
        <v>748</v>
      </c>
      <c r="BB66" s="652"/>
      <c r="BC66" s="652" t="s">
        <v>749</v>
      </c>
      <c r="BD66" s="652"/>
      <c r="BE66" s="652" t="s">
        <v>750</v>
      </c>
      <c r="BF66" s="652"/>
      <c r="BG66" s="652" t="s">
        <v>751</v>
      </c>
      <c r="BH66" s="652"/>
      <c r="BI66" s="652" t="s">
        <v>752</v>
      </c>
      <c r="BJ66" s="652"/>
      <c r="BK66" s="652" t="s">
        <v>752</v>
      </c>
      <c r="BL66" s="652"/>
    </row>
    <row r="67" spans="1:64" ht="24" hidden="1" customHeight="1">
      <c r="A67" s="77"/>
      <c r="B67" s="77"/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AB67" s="77"/>
      <c r="AC67" s="77"/>
      <c r="AD67" s="77"/>
      <c r="AE67" s="653" t="s">
        <v>707</v>
      </c>
      <c r="AF67" s="654"/>
      <c r="AG67" s="653" t="s">
        <v>708</v>
      </c>
      <c r="AH67" s="654"/>
      <c r="AI67" s="653" t="s">
        <v>709</v>
      </c>
      <c r="AJ67" s="654"/>
      <c r="AK67" s="653" t="s">
        <v>710</v>
      </c>
      <c r="AL67" s="654"/>
      <c r="AM67" s="657" t="s">
        <v>711</v>
      </c>
      <c r="AN67" s="657"/>
      <c r="AO67" s="653" t="s">
        <v>712</v>
      </c>
      <c r="AP67" s="654"/>
      <c r="AQ67" s="657" t="s">
        <v>713</v>
      </c>
      <c r="AR67" s="657"/>
      <c r="AS67" s="653" t="s">
        <v>714</v>
      </c>
      <c r="AT67" s="654"/>
      <c r="AU67" s="657" t="s">
        <v>715</v>
      </c>
      <c r="AV67" s="657"/>
      <c r="AW67" s="653" t="s">
        <v>716</v>
      </c>
      <c r="AX67" s="654"/>
      <c r="AY67" s="657" t="s">
        <v>717</v>
      </c>
      <c r="AZ67" s="657"/>
      <c r="BA67" s="653" t="s">
        <v>718</v>
      </c>
      <c r="BB67" s="654"/>
      <c r="BC67" s="657" t="s">
        <v>719</v>
      </c>
      <c r="BD67" s="654"/>
      <c r="BE67" s="657" t="s">
        <v>720</v>
      </c>
      <c r="BF67" s="654"/>
      <c r="BG67" s="653" t="s">
        <v>721</v>
      </c>
      <c r="BH67" s="654"/>
      <c r="BI67" s="653" t="s">
        <v>722</v>
      </c>
      <c r="BJ67" s="654"/>
      <c r="BK67" s="653" t="s">
        <v>723</v>
      </c>
      <c r="BL67" s="654"/>
    </row>
    <row r="68" spans="1:64" ht="24" hidden="1" customHeight="1">
      <c r="A68" s="78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AB68" s="78"/>
      <c r="AC68" s="78"/>
      <c r="AD68" s="78"/>
      <c r="AE68" s="61" t="s">
        <v>520</v>
      </c>
      <c r="AF68" s="72" t="s">
        <v>521</v>
      </c>
      <c r="AG68" s="61" t="s">
        <v>520</v>
      </c>
      <c r="AH68" s="72" t="s">
        <v>521</v>
      </c>
      <c r="AI68" s="61" t="s">
        <v>520</v>
      </c>
      <c r="AJ68" s="72" t="s">
        <v>521</v>
      </c>
      <c r="AK68" s="61" t="s">
        <v>520</v>
      </c>
      <c r="AL68" s="72" t="s">
        <v>521</v>
      </c>
      <c r="AM68" s="62" t="s">
        <v>520</v>
      </c>
      <c r="AN68" s="72" t="s">
        <v>521</v>
      </c>
      <c r="AO68" s="61" t="s">
        <v>520</v>
      </c>
      <c r="AP68" s="72" t="s">
        <v>521</v>
      </c>
      <c r="AQ68" s="62" t="s">
        <v>520</v>
      </c>
      <c r="AR68" s="72" t="s">
        <v>521</v>
      </c>
      <c r="AS68" s="61" t="s">
        <v>520</v>
      </c>
      <c r="AT68" s="72" t="s">
        <v>521</v>
      </c>
      <c r="AU68" s="62" t="s">
        <v>520</v>
      </c>
      <c r="AV68" s="72" t="s">
        <v>521</v>
      </c>
      <c r="AW68" s="61" t="s">
        <v>520</v>
      </c>
      <c r="AX68" s="72" t="s">
        <v>521</v>
      </c>
      <c r="AY68" s="62" t="s">
        <v>520</v>
      </c>
      <c r="AZ68" s="72" t="s">
        <v>521</v>
      </c>
      <c r="BA68" s="61" t="s">
        <v>520</v>
      </c>
      <c r="BB68" s="72" t="s">
        <v>521</v>
      </c>
      <c r="BC68" s="62" t="s">
        <v>520</v>
      </c>
      <c r="BD68" s="72" t="s">
        <v>521</v>
      </c>
      <c r="BE68" s="62" t="s">
        <v>520</v>
      </c>
      <c r="BF68" s="72" t="s">
        <v>521</v>
      </c>
      <c r="BG68" s="61" t="s">
        <v>520</v>
      </c>
      <c r="BH68" s="72" t="s">
        <v>521</v>
      </c>
      <c r="BI68" s="61" t="s">
        <v>520</v>
      </c>
      <c r="BJ68" s="72" t="s">
        <v>521</v>
      </c>
      <c r="BK68" s="61" t="s">
        <v>520</v>
      </c>
      <c r="BL68" s="72" t="s">
        <v>521</v>
      </c>
    </row>
    <row r="69" spans="1:64" ht="24" hidden="1" customHeight="1">
      <c r="A69" s="70" t="s">
        <v>542</v>
      </c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70"/>
      <c r="AT69" s="70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4"/>
      <c r="BI69" s="64"/>
      <c r="BJ69" s="64"/>
      <c r="BK69" s="64"/>
      <c r="BL69" s="64"/>
    </row>
    <row r="70" spans="1:64" ht="24" hidden="1" customHeight="1">
      <c r="A70" s="70" t="s">
        <v>546</v>
      </c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AB70" s="70"/>
      <c r="AC70" s="70"/>
      <c r="AD70" s="70"/>
      <c r="AE70" s="64">
        <v>23454</v>
      </c>
      <c r="AF70" s="70">
        <v>23454</v>
      </c>
      <c r="AG70" s="64">
        <v>23454</v>
      </c>
      <c r="AH70" s="64">
        <v>23454</v>
      </c>
      <c r="AI70" s="64">
        <v>23454</v>
      </c>
      <c r="AJ70" s="70">
        <v>23454</v>
      </c>
      <c r="AK70" s="64">
        <v>23454</v>
      </c>
      <c r="AL70" s="64">
        <v>23454</v>
      </c>
      <c r="AM70" s="64">
        <v>23454</v>
      </c>
      <c r="AN70" s="70">
        <v>23454</v>
      </c>
      <c r="AO70" s="64">
        <v>23454</v>
      </c>
      <c r="AP70" s="64">
        <v>23454</v>
      </c>
      <c r="AQ70" s="64">
        <v>23454</v>
      </c>
      <c r="AR70" s="70">
        <v>23454</v>
      </c>
      <c r="AS70" s="64">
        <v>23454</v>
      </c>
      <c r="AT70" s="64">
        <v>23454</v>
      </c>
      <c r="AU70" s="64">
        <v>23454</v>
      </c>
      <c r="AV70" s="70">
        <v>23454</v>
      </c>
      <c r="AW70" s="64">
        <v>23454</v>
      </c>
      <c r="AX70" s="64">
        <v>23454</v>
      </c>
      <c r="AY70" s="64">
        <v>23454</v>
      </c>
      <c r="AZ70" s="70">
        <v>23454</v>
      </c>
      <c r="BA70" s="64">
        <v>23454</v>
      </c>
      <c r="BB70" s="64">
        <v>23454</v>
      </c>
      <c r="BC70" s="64">
        <v>23454</v>
      </c>
      <c r="BD70" s="70">
        <v>23454</v>
      </c>
      <c r="BE70" s="64">
        <v>23454</v>
      </c>
      <c r="BF70" s="64">
        <v>23454</v>
      </c>
      <c r="BG70" s="64">
        <v>23454</v>
      </c>
      <c r="BH70" s="70">
        <v>23454</v>
      </c>
      <c r="BI70" s="64">
        <v>23454</v>
      </c>
      <c r="BJ70" s="64">
        <v>23454</v>
      </c>
      <c r="BK70" s="64">
        <v>23454</v>
      </c>
      <c r="BL70" s="64">
        <v>23454</v>
      </c>
    </row>
    <row r="71" spans="1:64" ht="24" hidden="1" customHeight="1">
      <c r="A71" s="70" t="s">
        <v>547</v>
      </c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AB71" s="70"/>
      <c r="AC71" s="70"/>
      <c r="AD71" s="70"/>
      <c r="AE71" s="64">
        <v>31579</v>
      </c>
      <c r="AF71" s="70">
        <v>31579</v>
      </c>
      <c r="AG71" s="64">
        <v>31579</v>
      </c>
      <c r="AH71" s="64">
        <v>31579</v>
      </c>
      <c r="AI71" s="64">
        <v>31579</v>
      </c>
      <c r="AJ71" s="70">
        <v>31579</v>
      </c>
      <c r="AK71" s="64">
        <v>31579</v>
      </c>
      <c r="AL71" s="64">
        <v>31579</v>
      </c>
      <c r="AM71" s="64">
        <v>31579</v>
      </c>
      <c r="AN71" s="70">
        <v>31579</v>
      </c>
      <c r="AO71" s="64">
        <v>31579</v>
      </c>
      <c r="AP71" s="64">
        <v>31579</v>
      </c>
      <c r="AQ71" s="64">
        <v>31579</v>
      </c>
      <c r="AR71" s="70">
        <v>31709</v>
      </c>
      <c r="AS71" s="64">
        <v>31579</v>
      </c>
      <c r="AT71" s="64">
        <v>31709</v>
      </c>
      <c r="AU71" s="64">
        <v>31579</v>
      </c>
      <c r="AV71" s="70">
        <v>31709</v>
      </c>
      <c r="AW71" s="64">
        <v>31579</v>
      </c>
      <c r="AX71" s="64">
        <v>31709</v>
      </c>
      <c r="AY71" s="64">
        <v>31579</v>
      </c>
      <c r="AZ71" s="70">
        <v>31709</v>
      </c>
      <c r="BA71" s="64">
        <v>31579</v>
      </c>
      <c r="BB71" s="64">
        <v>31709</v>
      </c>
      <c r="BC71" s="64">
        <v>31579</v>
      </c>
      <c r="BD71" s="70">
        <v>31714</v>
      </c>
      <c r="BE71" s="64">
        <v>31579</v>
      </c>
      <c r="BF71" s="64">
        <v>31714</v>
      </c>
      <c r="BG71" s="64">
        <v>31579</v>
      </c>
      <c r="BH71" s="70">
        <v>31714</v>
      </c>
      <c r="BI71" s="64">
        <v>31579</v>
      </c>
      <c r="BJ71" s="64">
        <v>31718</v>
      </c>
      <c r="BK71" s="64">
        <v>31579</v>
      </c>
      <c r="BL71" s="64">
        <v>31718</v>
      </c>
    </row>
    <row r="72" spans="1:64" ht="24" hidden="1" customHeight="1">
      <c r="A72" s="70" t="s">
        <v>548</v>
      </c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AB72" s="70"/>
      <c r="AC72" s="70"/>
      <c r="AD72" s="70"/>
      <c r="AE72" s="64">
        <f>AE73+AE74+AE75</f>
        <v>91544</v>
      </c>
      <c r="AF72" s="70">
        <v>109551</v>
      </c>
      <c r="AG72" s="64">
        <f>AG73+AG74+AG75</f>
        <v>85852</v>
      </c>
      <c r="AH72" s="64">
        <v>104517</v>
      </c>
      <c r="AI72" s="64">
        <f>AI73+AI74+AI75+1</f>
        <v>88417</v>
      </c>
      <c r="AJ72" s="70">
        <v>107990</v>
      </c>
      <c r="AK72" s="64">
        <f>AK73+AK74+AK75</f>
        <v>77935</v>
      </c>
      <c r="AL72" s="64">
        <v>98162</v>
      </c>
      <c r="AM72" s="64">
        <f>AM73+AM74+AM75</f>
        <v>73825</v>
      </c>
      <c r="AN72" s="70">
        <v>94045</v>
      </c>
      <c r="AO72" s="64">
        <f>AO73+AO74+AO75</f>
        <v>77117</v>
      </c>
      <c r="AP72" s="64">
        <v>98106</v>
      </c>
      <c r="AQ72" s="64">
        <f>AQ73+AQ74+AQ75-1</f>
        <v>78528</v>
      </c>
      <c r="AR72" s="70">
        <v>101533</v>
      </c>
      <c r="AS72" s="64">
        <f>AS73+AS74+AS75</f>
        <v>77065</v>
      </c>
      <c r="AT72" s="64">
        <v>99365</v>
      </c>
      <c r="AU72" s="64">
        <f>AU73+AU74+AU75</f>
        <v>29584</v>
      </c>
      <c r="AV72" s="70">
        <v>57190</v>
      </c>
      <c r="AW72" s="64">
        <f>AW73+AW74+AW75</f>
        <v>33464</v>
      </c>
      <c r="AX72" s="64">
        <v>58571</v>
      </c>
      <c r="AY72" s="64">
        <f>AY73+AY74+AY75+1</f>
        <v>34201</v>
      </c>
      <c r="AZ72" s="70">
        <v>59709</v>
      </c>
      <c r="BA72" s="64">
        <f>BA73+BA74+BA75+1</f>
        <v>30245</v>
      </c>
      <c r="BB72" s="64">
        <v>55188</v>
      </c>
      <c r="BC72" s="64">
        <f>BC73+BC74+BC75</f>
        <v>29598</v>
      </c>
      <c r="BD72" s="70">
        <v>55737</v>
      </c>
      <c r="BE72" s="64">
        <f>BE73+BE74+BE75</f>
        <v>25309</v>
      </c>
      <c r="BF72" s="64">
        <v>55909</v>
      </c>
      <c r="BG72" s="64">
        <f>BG73+BG74+BG75</f>
        <v>31630</v>
      </c>
      <c r="BH72" s="70">
        <v>66574</v>
      </c>
      <c r="BI72" s="64">
        <f>BI73+BI74+BI75</f>
        <v>37557</v>
      </c>
      <c r="BJ72" s="64">
        <v>79576</v>
      </c>
      <c r="BK72" s="64">
        <f>BK73+BK74+BK75</f>
        <v>51459</v>
      </c>
      <c r="BL72" s="64">
        <v>96682</v>
      </c>
    </row>
    <row r="73" spans="1:64" ht="24" hidden="1" customHeight="1">
      <c r="A73" s="70" t="s">
        <v>549</v>
      </c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AB73" s="70"/>
      <c r="AC73" s="70"/>
      <c r="AD73" s="70"/>
      <c r="AE73" s="64">
        <v>4352</v>
      </c>
      <c r="AF73" s="64"/>
      <c r="AG73" s="64">
        <v>4552</v>
      </c>
      <c r="AH73" s="64"/>
      <c r="AI73" s="64">
        <v>4552</v>
      </c>
      <c r="AJ73" s="64"/>
      <c r="AK73" s="64">
        <v>4552</v>
      </c>
      <c r="AL73" s="64"/>
      <c r="AM73" s="64">
        <v>4552</v>
      </c>
      <c r="AN73" s="64"/>
      <c r="AO73" s="64">
        <v>4552</v>
      </c>
      <c r="AP73" s="64"/>
      <c r="AQ73" s="64">
        <v>4552</v>
      </c>
      <c r="AR73" s="64"/>
      <c r="AS73" s="64">
        <v>4552</v>
      </c>
      <c r="AT73" s="64"/>
      <c r="AU73" s="64">
        <v>4552</v>
      </c>
      <c r="AV73" s="64"/>
      <c r="AW73" s="64">
        <v>4552</v>
      </c>
      <c r="AX73" s="64"/>
      <c r="AY73" s="64">
        <v>4552</v>
      </c>
      <c r="AZ73" s="64"/>
      <c r="BA73" s="64">
        <v>4552</v>
      </c>
      <c r="BB73" s="64"/>
      <c r="BC73" s="64">
        <v>4552</v>
      </c>
      <c r="BD73" s="64"/>
      <c r="BE73" s="64">
        <v>4552</v>
      </c>
      <c r="BF73" s="64"/>
      <c r="BG73" s="64">
        <v>4552</v>
      </c>
      <c r="BH73" s="64"/>
      <c r="BI73" s="64">
        <v>4552</v>
      </c>
      <c r="BJ73" s="64"/>
      <c r="BK73" s="64">
        <v>4552</v>
      </c>
      <c r="BL73" s="64"/>
    </row>
    <row r="74" spans="1:64" ht="24" hidden="1" customHeight="1">
      <c r="A74" s="70" t="s">
        <v>550</v>
      </c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70"/>
      <c r="AE74" s="64">
        <v>87340</v>
      </c>
      <c r="AF74" s="64"/>
      <c r="AG74" s="64">
        <v>87438</v>
      </c>
      <c r="AH74" s="64"/>
      <c r="AI74" s="64">
        <v>83436</v>
      </c>
      <c r="AJ74" s="64"/>
      <c r="AK74" s="64">
        <v>74034</v>
      </c>
      <c r="AL74" s="64"/>
      <c r="AM74" s="64">
        <v>74700</v>
      </c>
      <c r="AN74" s="64"/>
      <c r="AO74" s="64">
        <v>74700</v>
      </c>
      <c r="AP74" s="64"/>
      <c r="AQ74" s="64">
        <v>75200</v>
      </c>
      <c r="AR74" s="64"/>
      <c r="AS74" s="64">
        <v>73200</v>
      </c>
      <c r="AT74" s="64"/>
      <c r="AU74" s="64">
        <v>26200</v>
      </c>
      <c r="AV74" s="64"/>
      <c r="AW74" s="64">
        <v>26200</v>
      </c>
      <c r="AX74" s="64"/>
      <c r="AY74" s="64">
        <v>27500</v>
      </c>
      <c r="AZ74" s="64"/>
      <c r="BA74" s="64">
        <v>24500</v>
      </c>
      <c r="BB74" s="64"/>
      <c r="BC74" s="64">
        <v>24500</v>
      </c>
      <c r="BD74" s="64"/>
      <c r="BE74" s="64">
        <v>15000</v>
      </c>
      <c r="BF74" s="64"/>
      <c r="BG74" s="64">
        <v>19000</v>
      </c>
      <c r="BH74" s="64"/>
      <c r="BI74" s="64">
        <v>26000</v>
      </c>
      <c r="BJ74" s="64"/>
      <c r="BK74" s="64">
        <v>36000</v>
      </c>
      <c r="BL74" s="64"/>
    </row>
    <row r="75" spans="1:64" ht="24" hidden="1" customHeight="1">
      <c r="A75" s="70" t="s">
        <v>553</v>
      </c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70"/>
      <c r="AE75" s="64">
        <v>-148</v>
      </c>
      <c r="AF75" s="64"/>
      <c r="AG75" s="64">
        <v>-6138</v>
      </c>
      <c r="AH75" s="64"/>
      <c r="AI75" s="64">
        <v>428</v>
      </c>
      <c r="AJ75" s="64"/>
      <c r="AK75" s="64">
        <v>-651</v>
      </c>
      <c r="AL75" s="64"/>
      <c r="AM75" s="64">
        <v>-5427</v>
      </c>
      <c r="AN75" s="64"/>
      <c r="AO75" s="64">
        <v>-2135</v>
      </c>
      <c r="AP75" s="64"/>
      <c r="AQ75" s="64">
        <v>-1223</v>
      </c>
      <c r="AR75" s="64"/>
      <c r="AS75" s="64">
        <v>-687</v>
      </c>
      <c r="AT75" s="64"/>
      <c r="AU75" s="64">
        <v>-1168</v>
      </c>
      <c r="AV75" s="64"/>
      <c r="AW75" s="64">
        <v>2712</v>
      </c>
      <c r="AX75" s="64"/>
      <c r="AY75" s="64">
        <v>2148</v>
      </c>
      <c r="AZ75" s="64"/>
      <c r="BA75" s="64">
        <v>1192</v>
      </c>
      <c r="BB75" s="64"/>
      <c r="BC75" s="64">
        <v>546</v>
      </c>
      <c r="BD75" s="64"/>
      <c r="BE75" s="64">
        <v>5757</v>
      </c>
      <c r="BF75" s="64"/>
      <c r="BG75" s="64">
        <v>8078</v>
      </c>
      <c r="BH75" s="64"/>
      <c r="BI75" s="64">
        <v>7005</v>
      </c>
      <c r="BJ75" s="64"/>
      <c r="BK75" s="64">
        <v>10907</v>
      </c>
      <c r="BL75" s="64"/>
    </row>
    <row r="76" spans="1:64" ht="24" hidden="1" customHeight="1">
      <c r="A76" s="70" t="s">
        <v>554</v>
      </c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70"/>
      <c r="AE76" s="64">
        <v>0</v>
      </c>
      <c r="AF76" s="64">
        <v>-7784</v>
      </c>
      <c r="AG76" s="64">
        <v>0</v>
      </c>
      <c r="AH76" s="64">
        <v>-7784</v>
      </c>
      <c r="AI76" s="64">
        <v>-4</v>
      </c>
      <c r="AJ76" s="64">
        <v>-4793</v>
      </c>
      <c r="AK76" s="64">
        <v>-16</v>
      </c>
      <c r="AL76" s="64">
        <v>-4603</v>
      </c>
      <c r="AM76" s="64">
        <v>-22</v>
      </c>
      <c r="AN76" s="64">
        <v>-4670</v>
      </c>
      <c r="AO76" s="64">
        <v>-28</v>
      </c>
      <c r="AP76" s="64">
        <v>-4765</v>
      </c>
      <c r="AQ76" s="64">
        <v>-37</v>
      </c>
      <c r="AR76" s="64">
        <v>-4644</v>
      </c>
      <c r="AS76" s="64">
        <v>-42</v>
      </c>
      <c r="AT76" s="64">
        <v>-2495</v>
      </c>
      <c r="AU76" s="64">
        <v>-44</v>
      </c>
      <c r="AV76" s="64">
        <v>-2511</v>
      </c>
      <c r="AW76" s="64">
        <v>-47</v>
      </c>
      <c r="AX76" s="64">
        <v>-2515</v>
      </c>
      <c r="AY76" s="64">
        <v>-47</v>
      </c>
      <c r="AZ76" s="64">
        <v>-2517</v>
      </c>
      <c r="BA76" s="64">
        <v>-48</v>
      </c>
      <c r="BB76" s="64">
        <v>-2518</v>
      </c>
      <c r="BC76" s="64">
        <v>-49</v>
      </c>
      <c r="BD76" s="64">
        <v>-2424</v>
      </c>
      <c r="BE76" s="64">
        <v>-51</v>
      </c>
      <c r="BF76" s="64">
        <v>-2427</v>
      </c>
      <c r="BG76" s="64">
        <v>-55</v>
      </c>
      <c r="BH76" s="64">
        <v>-2431</v>
      </c>
      <c r="BI76" s="64">
        <v>-56</v>
      </c>
      <c r="BJ76" s="64">
        <v>-2433</v>
      </c>
      <c r="BK76" s="64">
        <v>-58</v>
      </c>
      <c r="BL76" s="64">
        <v>-2435</v>
      </c>
    </row>
    <row r="77" spans="1:64" ht="24" hidden="1" customHeight="1">
      <c r="A77" s="80" t="s">
        <v>555</v>
      </c>
      <c r="B77" s="80"/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  <c r="AD77" s="80"/>
      <c r="AE77" s="63">
        <f>AE70+AE71+AE72+AE76+1</f>
        <v>146578</v>
      </c>
      <c r="AF77" s="63">
        <f>AF70+AF71+AF72+AF76</f>
        <v>156800</v>
      </c>
      <c r="AG77" s="63">
        <f>AG70+AG71+AG72+AG76+1</f>
        <v>140886</v>
      </c>
      <c r="AH77" s="63">
        <f>AH70+AH71+AH72+AH76</f>
        <v>151766</v>
      </c>
      <c r="AI77" s="63">
        <f>AI70+AI71+AI72+AI76</f>
        <v>143446</v>
      </c>
      <c r="AJ77" s="63">
        <f>AJ70+AJ71+AJ72+AJ76</f>
        <v>158230</v>
      </c>
      <c r="AK77" s="63">
        <f>AK70+AK71+AK72+AK76+2</f>
        <v>132954</v>
      </c>
      <c r="AL77" s="63">
        <f>AL70+AL71+AL72+AL76</f>
        <v>148592</v>
      </c>
      <c r="AM77" s="63">
        <f>AM70+AM71+AM72+AM76</f>
        <v>128836</v>
      </c>
      <c r="AN77" s="63">
        <f>AN70+AN71+AN72+AN76+1</f>
        <v>144409</v>
      </c>
      <c r="AO77" s="63">
        <f>AO70+AO71+AO72+AO76</f>
        <v>132122</v>
      </c>
      <c r="AP77" s="63">
        <f>AP70+AP71+AP72+AP76+1</f>
        <v>148375</v>
      </c>
      <c r="AQ77" s="63">
        <f>AQ70+AQ71+AQ72+AQ76+2</f>
        <v>133526</v>
      </c>
      <c r="AR77" s="63">
        <f>AR70+AR71+AR72+AR76+2</f>
        <v>152054</v>
      </c>
      <c r="AS77" s="63">
        <f>AS70+AS71+AS72+AS76+1</f>
        <v>132057</v>
      </c>
      <c r="AT77" s="63">
        <f>AT70+AT71+AT72+AT76+1</f>
        <v>152034</v>
      </c>
      <c r="AU77" s="63">
        <f>AU70+AU71+AU72+AU76</f>
        <v>84573</v>
      </c>
      <c r="AV77" s="63">
        <f>AV70+AV71+AV72+AV76</f>
        <v>109842</v>
      </c>
      <c r="AW77" s="63">
        <f>AW70+AW71+AW72+AW76+1</f>
        <v>88451</v>
      </c>
      <c r="AX77" s="63">
        <f>AX70+AX71+AX72+AX76+2</f>
        <v>111221</v>
      </c>
      <c r="AY77" s="63">
        <f>AY70+AY71+AY72+AY76</f>
        <v>89187</v>
      </c>
      <c r="AZ77" s="63">
        <f>AZ70+AZ71+AZ72+AZ76+1</f>
        <v>112356</v>
      </c>
      <c r="BA77" s="63">
        <f>BA70+BA71+BA72+BA76</f>
        <v>85230</v>
      </c>
      <c r="BB77" s="63">
        <f>BB70+BB71+BB72+BB76+1</f>
        <v>107834</v>
      </c>
      <c r="BC77" s="63">
        <f>BC70+BC71+BC72+BC76+1</f>
        <v>84583</v>
      </c>
      <c r="BD77" s="63">
        <f>BD70+BD71+BD72+BD76+1</f>
        <v>108482</v>
      </c>
      <c r="BE77" s="63">
        <f>BE70+BE71+BE72+BE76+2</f>
        <v>80293</v>
      </c>
      <c r="BF77" s="63">
        <f t="shared" ref="BF77:BL77" si="65">BF70+BF71+BF72+BF76+1</f>
        <v>108651</v>
      </c>
      <c r="BG77" s="63">
        <f t="shared" si="65"/>
        <v>86609</v>
      </c>
      <c r="BH77" s="63">
        <f t="shared" si="65"/>
        <v>119312</v>
      </c>
      <c r="BI77" s="63">
        <f t="shared" si="65"/>
        <v>92535</v>
      </c>
      <c r="BJ77" s="63">
        <f t="shared" si="65"/>
        <v>132316</v>
      </c>
      <c r="BK77" s="63">
        <f t="shared" si="65"/>
        <v>106435</v>
      </c>
      <c r="BL77" s="63">
        <f t="shared" si="65"/>
        <v>149420</v>
      </c>
    </row>
    <row r="78" spans="1:64" ht="24" hidden="1" customHeight="1">
      <c r="A78" s="79" t="s">
        <v>556</v>
      </c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A78" s="79"/>
      <c r="AB78" s="79"/>
      <c r="AC78" s="79"/>
      <c r="AD78" s="79"/>
      <c r="AE78" s="64">
        <v>14451</v>
      </c>
      <c r="AF78" s="64">
        <v>14910</v>
      </c>
      <c r="AG78" s="64">
        <v>14523</v>
      </c>
      <c r="AH78" s="64">
        <v>14576</v>
      </c>
      <c r="AI78" s="64">
        <v>10311</v>
      </c>
      <c r="AJ78" s="64">
        <v>10354</v>
      </c>
      <c r="AK78" s="64">
        <v>12004</v>
      </c>
      <c r="AL78" s="64">
        <v>12230</v>
      </c>
      <c r="AM78" s="64">
        <v>13919</v>
      </c>
      <c r="AN78" s="64">
        <v>14234</v>
      </c>
      <c r="AO78" s="64">
        <v>21391</v>
      </c>
      <c r="AP78" s="64">
        <v>22144</v>
      </c>
      <c r="AQ78" s="64">
        <v>26896</v>
      </c>
      <c r="AR78" s="64">
        <v>27865</v>
      </c>
      <c r="AS78" s="64">
        <v>25795</v>
      </c>
      <c r="AT78" s="64">
        <v>26737</v>
      </c>
      <c r="AU78" s="64">
        <v>16114</v>
      </c>
      <c r="AV78" s="64">
        <v>19507</v>
      </c>
      <c r="AW78" s="64">
        <v>9223</v>
      </c>
      <c r="AX78" s="64">
        <v>6652</v>
      </c>
      <c r="AY78" s="64">
        <v>6358</v>
      </c>
      <c r="AZ78" s="64">
        <v>10181</v>
      </c>
      <c r="BA78" s="64">
        <v>4651</v>
      </c>
      <c r="BB78" s="64">
        <v>4817</v>
      </c>
      <c r="BC78" s="64">
        <v>3613</v>
      </c>
      <c r="BD78" s="64">
        <v>3802</v>
      </c>
      <c r="BE78" s="64">
        <v>20353</v>
      </c>
      <c r="BF78" s="64">
        <v>21115</v>
      </c>
      <c r="BG78" s="64">
        <v>22033</v>
      </c>
      <c r="BH78" s="64">
        <v>22937</v>
      </c>
      <c r="BI78" s="64">
        <v>26119</v>
      </c>
      <c r="BJ78" s="64">
        <v>27015</v>
      </c>
      <c r="BK78" s="64">
        <v>19989</v>
      </c>
      <c r="BL78" s="64">
        <v>20675</v>
      </c>
    </row>
    <row r="79" spans="1:64" ht="24" hidden="1" customHeight="1">
      <c r="A79" s="79" t="s">
        <v>557</v>
      </c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A79" s="79"/>
      <c r="AB79" s="79"/>
      <c r="AC79" s="79"/>
      <c r="AD79" s="79"/>
      <c r="AE79" s="64"/>
      <c r="AF79" s="64">
        <v>-74</v>
      </c>
      <c r="AG79" s="64"/>
      <c r="AH79" s="64">
        <v>-60</v>
      </c>
      <c r="AI79" s="64"/>
      <c r="AJ79" s="64">
        <v>-47</v>
      </c>
      <c r="AK79" s="64"/>
      <c r="AL79" s="64">
        <v>-53</v>
      </c>
      <c r="AM79" s="64"/>
      <c r="AN79" s="64">
        <v>-51</v>
      </c>
      <c r="AO79" s="64"/>
      <c r="AP79" s="64">
        <v>-50</v>
      </c>
      <c r="AQ79" s="64"/>
      <c r="AR79" s="64">
        <v>-42</v>
      </c>
      <c r="AS79" s="64"/>
      <c r="AT79" s="64">
        <v>-36</v>
      </c>
      <c r="AU79" s="64"/>
      <c r="AV79" s="64">
        <v>-77</v>
      </c>
      <c r="AW79" s="64"/>
      <c r="AX79" s="64">
        <v>-92</v>
      </c>
      <c r="AY79" s="64"/>
      <c r="AZ79" s="64">
        <v>-91</v>
      </c>
      <c r="BA79" s="64"/>
      <c r="BB79" s="64">
        <v>-36</v>
      </c>
      <c r="BC79" s="64"/>
      <c r="BD79" s="64">
        <v>-35</v>
      </c>
      <c r="BE79" s="64"/>
      <c r="BF79" s="64">
        <v>-24</v>
      </c>
      <c r="BG79" s="64"/>
      <c r="BH79" s="64">
        <v>-6818</v>
      </c>
      <c r="BI79" s="64"/>
      <c r="BJ79" s="64">
        <f>34-5125</f>
        <v>-5091</v>
      </c>
      <c r="BK79" s="64"/>
      <c r="BL79" s="64">
        <v>-10578</v>
      </c>
    </row>
    <row r="80" spans="1:64" ht="24" hidden="1" customHeight="1">
      <c r="A80" s="80" t="s">
        <v>561</v>
      </c>
      <c r="B80" s="80"/>
      <c r="C80" s="80"/>
      <c r="D80" s="80"/>
      <c r="E80" s="80"/>
      <c r="F80" s="80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63">
        <f t="shared" ref="AE80:AQ80" si="66">AE78+AE79</f>
        <v>14451</v>
      </c>
      <c r="AF80" s="63">
        <f t="shared" si="66"/>
        <v>14836</v>
      </c>
      <c r="AG80" s="63">
        <f t="shared" si="66"/>
        <v>14523</v>
      </c>
      <c r="AH80" s="63">
        <f t="shared" si="66"/>
        <v>14516</v>
      </c>
      <c r="AI80" s="63">
        <f t="shared" si="66"/>
        <v>10311</v>
      </c>
      <c r="AJ80" s="63">
        <f t="shared" si="66"/>
        <v>10307</v>
      </c>
      <c r="AK80" s="63">
        <f t="shared" si="66"/>
        <v>12004</v>
      </c>
      <c r="AL80" s="63">
        <f t="shared" si="66"/>
        <v>12177</v>
      </c>
      <c r="AM80" s="63">
        <f t="shared" si="66"/>
        <v>13919</v>
      </c>
      <c r="AN80" s="63">
        <f t="shared" si="66"/>
        <v>14183</v>
      </c>
      <c r="AO80" s="63">
        <f t="shared" si="66"/>
        <v>21391</v>
      </c>
      <c r="AP80" s="63">
        <f t="shared" si="66"/>
        <v>22094</v>
      </c>
      <c r="AQ80" s="63">
        <f t="shared" si="66"/>
        <v>26896</v>
      </c>
      <c r="AR80" s="63">
        <f>AR78+AR79-1</f>
        <v>27822</v>
      </c>
      <c r="AS80" s="63">
        <f>AS78+AS79</f>
        <v>25795</v>
      </c>
      <c r="AT80" s="63">
        <f>AT78+AT79</f>
        <v>26701</v>
      </c>
      <c r="AU80" s="63">
        <f>AU78+AU79</f>
        <v>16114</v>
      </c>
      <c r="AV80" s="63">
        <f>AV78+AV79-1</f>
        <v>19429</v>
      </c>
      <c r="AW80" s="63">
        <f>AW78+AW79</f>
        <v>9223</v>
      </c>
      <c r="AX80" s="63">
        <f>AX78+AX79-1</f>
        <v>6559</v>
      </c>
      <c r="AY80" s="63">
        <f>AY78+AY79</f>
        <v>6358</v>
      </c>
      <c r="AZ80" s="63">
        <f>AZ78+AZ79-1</f>
        <v>10089</v>
      </c>
      <c r="BA80" s="63">
        <f>BA78+BA79</f>
        <v>4651</v>
      </c>
      <c r="BB80" s="63">
        <f>BB78+BB79-1</f>
        <v>4780</v>
      </c>
      <c r="BC80" s="63">
        <f t="shared" ref="BC80:BI80" si="67">BC78+BC79</f>
        <v>3613</v>
      </c>
      <c r="BD80" s="63">
        <f t="shared" si="67"/>
        <v>3767</v>
      </c>
      <c r="BE80" s="63">
        <f t="shared" si="67"/>
        <v>20353</v>
      </c>
      <c r="BF80" s="63">
        <f t="shared" si="67"/>
        <v>21091</v>
      </c>
      <c r="BG80" s="63">
        <f t="shared" si="67"/>
        <v>22033</v>
      </c>
      <c r="BH80" s="63">
        <f t="shared" si="67"/>
        <v>16119</v>
      </c>
      <c r="BI80" s="63">
        <f t="shared" si="67"/>
        <v>26119</v>
      </c>
      <c r="BJ80" s="63">
        <f>BJ78+BJ79-1</f>
        <v>21923</v>
      </c>
      <c r="BK80" s="63">
        <f t="shared" ref="BK80" si="68">BK78+BK79</f>
        <v>19989</v>
      </c>
      <c r="BL80" s="63">
        <f>BL78+BL79-1</f>
        <v>10096</v>
      </c>
    </row>
    <row r="81" spans="1:64" ht="24" hidden="1" customHeight="1">
      <c r="A81" s="70" t="s">
        <v>753</v>
      </c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64"/>
      <c r="AF81" s="64">
        <v>6886</v>
      </c>
      <c r="AG81" s="64"/>
      <c r="AH81" s="64">
        <v>6115</v>
      </c>
      <c r="AI81" s="64"/>
      <c r="AJ81" s="64">
        <v>2824</v>
      </c>
      <c r="AK81" s="64"/>
      <c r="AL81" s="64">
        <v>2961</v>
      </c>
      <c r="AM81" s="64"/>
      <c r="AN81" s="64">
        <v>2681</v>
      </c>
      <c r="AO81" s="64"/>
      <c r="AP81" s="64">
        <v>3343</v>
      </c>
      <c r="AQ81" s="64"/>
      <c r="AR81" s="64">
        <v>4070</v>
      </c>
      <c r="AS81" s="64"/>
      <c r="AT81" s="64">
        <v>5497</v>
      </c>
      <c r="AU81" s="64"/>
      <c r="AV81" s="64">
        <v>5211</v>
      </c>
      <c r="AW81" s="64"/>
      <c r="AX81" s="64">
        <v>4675</v>
      </c>
      <c r="AY81" s="64"/>
      <c r="AZ81" s="64">
        <v>3827</v>
      </c>
      <c r="BA81" s="64"/>
      <c r="BB81" s="64">
        <v>3276</v>
      </c>
      <c r="BC81" s="64"/>
      <c r="BD81" s="64">
        <v>3270</v>
      </c>
      <c r="BE81" s="64"/>
      <c r="BF81" s="64">
        <v>4378</v>
      </c>
      <c r="BG81" s="64"/>
      <c r="BH81" s="64">
        <v>5192</v>
      </c>
      <c r="BI81" s="64"/>
      <c r="BJ81" s="64">
        <v>5684</v>
      </c>
      <c r="BK81" s="64"/>
      <c r="BL81" s="64">
        <v>9565</v>
      </c>
    </row>
    <row r="82" spans="1:64" ht="24" hidden="1" customHeight="1">
      <c r="A82" s="81" t="s">
        <v>101</v>
      </c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  <c r="AC82" s="81"/>
      <c r="AD82" s="81"/>
      <c r="AE82" s="63">
        <f t="shared" ref="AE82:BF82" si="69">AE77+AE80+AE81+1</f>
        <v>161030</v>
      </c>
      <c r="AF82" s="63">
        <f>AF77+AF80+AF81</f>
        <v>178522</v>
      </c>
      <c r="AG82" s="63">
        <f t="shared" si="69"/>
        <v>155410</v>
      </c>
      <c r="AH82" s="63">
        <f>AH77+AH80+AH81</f>
        <v>172397</v>
      </c>
      <c r="AI82" s="63">
        <f t="shared" si="69"/>
        <v>153758</v>
      </c>
      <c r="AJ82" s="63">
        <f>AJ77+AJ80+AJ81</f>
        <v>171361</v>
      </c>
      <c r="AK82" s="63">
        <f t="shared" si="69"/>
        <v>144959</v>
      </c>
      <c r="AL82" s="63">
        <f>AL77+AL80+AL81</f>
        <v>163730</v>
      </c>
      <c r="AM82" s="63">
        <f t="shared" si="69"/>
        <v>142756</v>
      </c>
      <c r="AN82" s="63">
        <f>AN77+AN80+AN81</f>
        <v>161273</v>
      </c>
      <c r="AO82" s="63">
        <f>AO77+AO80+AO81+1</f>
        <v>153514</v>
      </c>
      <c r="AP82" s="63">
        <f t="shared" si="69"/>
        <v>173813</v>
      </c>
      <c r="AQ82" s="63">
        <f t="shared" si="69"/>
        <v>160423</v>
      </c>
      <c r="AR82" s="63">
        <f t="shared" si="69"/>
        <v>183947</v>
      </c>
      <c r="AS82" s="63">
        <f>AS77+AS80+AS81</f>
        <v>157852</v>
      </c>
      <c r="AT82" s="63">
        <f t="shared" si="69"/>
        <v>184233</v>
      </c>
      <c r="AU82" s="63">
        <f t="shared" si="69"/>
        <v>100688</v>
      </c>
      <c r="AV82" s="63">
        <f>AV77+AV80+AV81+2</f>
        <v>134484</v>
      </c>
      <c r="AW82" s="63">
        <f>AW77+AW80+AW81</f>
        <v>97674</v>
      </c>
      <c r="AX82" s="63">
        <f t="shared" si="69"/>
        <v>122456</v>
      </c>
      <c r="AY82" s="63">
        <f t="shared" si="69"/>
        <v>95546</v>
      </c>
      <c r="AZ82" s="63">
        <f t="shared" si="69"/>
        <v>126273</v>
      </c>
      <c r="BA82" s="63">
        <f>BA77+BA80+BA81</f>
        <v>89881</v>
      </c>
      <c r="BB82" s="63">
        <f>BB77+BB80+BB81</f>
        <v>115890</v>
      </c>
      <c r="BC82" s="63">
        <f>BC77+BC80+BC81+1</f>
        <v>88197</v>
      </c>
      <c r="BD82" s="63">
        <f>BD77+BD80+BD81</f>
        <v>115519</v>
      </c>
      <c r="BE82" s="63">
        <f>BE77+BE80+BE81</f>
        <v>100646</v>
      </c>
      <c r="BF82" s="63">
        <f t="shared" si="69"/>
        <v>134121</v>
      </c>
      <c r="BG82" s="63">
        <f>BG77+BG80+BG81</f>
        <v>108642</v>
      </c>
      <c r="BH82" s="63">
        <f>BH77+BH80+BH81</f>
        <v>140623</v>
      </c>
      <c r="BI82" s="63">
        <f>BI77+BI80+BI81</f>
        <v>118654</v>
      </c>
      <c r="BJ82" s="63">
        <f>BJ77+BJ80+BJ81+1</f>
        <v>159924</v>
      </c>
      <c r="BK82" s="63">
        <f>BK77+BK80+BK81+1</f>
        <v>126425</v>
      </c>
      <c r="BL82" s="63">
        <f>BL77+BL80+BL81+1</f>
        <v>169082</v>
      </c>
    </row>
    <row r="83" spans="1:64" ht="24" hidden="1" customHeight="1">
      <c r="A83" s="82" t="s">
        <v>563</v>
      </c>
      <c r="B83" s="82"/>
      <c r="C83" s="82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82"/>
      <c r="U83" s="82"/>
      <c r="V83" s="82"/>
      <c r="W83" s="82"/>
      <c r="X83" s="82"/>
      <c r="Y83" s="82"/>
      <c r="Z83" s="82"/>
      <c r="AA83" s="82"/>
      <c r="AB83" s="82"/>
      <c r="AC83" s="82"/>
      <c r="AD83" s="82"/>
      <c r="AE83" s="70">
        <v>625146</v>
      </c>
      <c r="AF83" s="64">
        <v>685635</v>
      </c>
      <c r="AG83" s="64">
        <v>599812</v>
      </c>
      <c r="AH83" s="64">
        <v>663295</v>
      </c>
      <c r="AI83" s="70">
        <v>617026</v>
      </c>
      <c r="AJ83" s="64">
        <v>677447</v>
      </c>
      <c r="AK83" s="64">
        <v>594859</v>
      </c>
      <c r="AL83" s="64">
        <v>647448</v>
      </c>
      <c r="AM83" s="70">
        <v>573130</v>
      </c>
      <c r="AN83" s="64">
        <v>624352</v>
      </c>
      <c r="AO83" s="64">
        <v>551537</v>
      </c>
      <c r="AP83" s="64">
        <v>601493</v>
      </c>
      <c r="AQ83" s="70">
        <v>507307</v>
      </c>
      <c r="AR83" s="64">
        <v>557578</v>
      </c>
      <c r="AS83" s="64">
        <v>446558</v>
      </c>
      <c r="AT83" s="64">
        <v>495129</v>
      </c>
      <c r="AU83" s="70">
        <v>388765</v>
      </c>
      <c r="AV83" s="64">
        <v>453130</v>
      </c>
      <c r="AW83" s="64">
        <v>359589</v>
      </c>
      <c r="AX83" s="64">
        <v>424439</v>
      </c>
      <c r="AY83" s="70">
        <v>314018</v>
      </c>
      <c r="AZ83" s="64">
        <v>384985</v>
      </c>
      <c r="BA83" s="64">
        <v>297353</v>
      </c>
      <c r="BB83" s="64">
        <v>350122</v>
      </c>
      <c r="BC83" s="70">
        <v>320343</v>
      </c>
      <c r="BD83" s="64">
        <v>376117</v>
      </c>
      <c r="BE83" s="64">
        <v>348621</v>
      </c>
      <c r="BF83" s="64">
        <v>403935</v>
      </c>
      <c r="BG83" s="70">
        <v>353807</v>
      </c>
      <c r="BH83" s="64">
        <v>413812</v>
      </c>
      <c r="BI83" s="64">
        <v>332144</v>
      </c>
      <c r="BJ83" s="64">
        <v>428229</v>
      </c>
      <c r="BK83" s="64">
        <v>340263</v>
      </c>
      <c r="BL83" s="64">
        <v>433041</v>
      </c>
    </row>
    <row r="84" spans="1:64" ht="24" hidden="1" customHeight="1">
      <c r="A84" s="81" t="s">
        <v>564</v>
      </c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  <c r="AC84" s="81"/>
      <c r="AD84" s="81"/>
      <c r="AE84" s="83">
        <f t="shared" ref="AE84:BJ84" si="70">(AE82-AE81)/AE83</f>
        <v>0.25758782748349984</v>
      </c>
      <c r="AF84" s="83">
        <f t="shared" si="70"/>
        <v>0.25033144457327877</v>
      </c>
      <c r="AG84" s="83">
        <f t="shared" si="70"/>
        <v>0.25909785065987345</v>
      </c>
      <c r="AH84" s="83">
        <f t="shared" si="70"/>
        <v>0.25069086907032317</v>
      </c>
      <c r="AI84" s="83">
        <f t="shared" si="70"/>
        <v>0.24919209239156859</v>
      </c>
      <c r="AJ84" s="83">
        <f t="shared" si="70"/>
        <v>0.24878256158784376</v>
      </c>
      <c r="AK84" s="83">
        <f t="shared" si="70"/>
        <v>0.24368631894280829</v>
      </c>
      <c r="AL84" s="83">
        <f t="shared" si="70"/>
        <v>0.2483118335372107</v>
      </c>
      <c r="AM84" s="83">
        <f t="shared" si="70"/>
        <v>0.24908136024985605</v>
      </c>
      <c r="AN84" s="83">
        <f t="shared" si="70"/>
        <v>0.25401055814668649</v>
      </c>
      <c r="AO84" s="83">
        <f t="shared" si="70"/>
        <v>0.27833853395148467</v>
      </c>
      <c r="AP84" s="83">
        <f t="shared" si="70"/>
        <v>0.2834114445222139</v>
      </c>
      <c r="AQ84" s="83">
        <f t="shared" si="70"/>
        <v>0.31622469234605477</v>
      </c>
      <c r="AR84" s="83">
        <f t="shared" si="70"/>
        <v>0.32260419170053339</v>
      </c>
      <c r="AS84" s="83">
        <f t="shared" si="70"/>
        <v>0.3534859973396513</v>
      </c>
      <c r="AT84" s="83">
        <f t="shared" si="70"/>
        <v>0.36098875242613543</v>
      </c>
      <c r="AU84" s="83">
        <f t="shared" si="70"/>
        <v>0.25899450825048553</v>
      </c>
      <c r="AV84" s="83">
        <f t="shared" si="70"/>
        <v>0.28528898991459406</v>
      </c>
      <c r="AW84" s="83">
        <f t="shared" si="70"/>
        <v>0.27162677390020273</v>
      </c>
      <c r="AX84" s="83">
        <f t="shared" si="70"/>
        <v>0.27749806214791761</v>
      </c>
      <c r="AY84" s="83">
        <f t="shared" si="70"/>
        <v>0.30426918202141279</v>
      </c>
      <c r="AZ84" s="83">
        <f t="shared" si="70"/>
        <v>0.31805395015390209</v>
      </c>
      <c r="BA84" s="83">
        <f t="shared" si="70"/>
        <v>0.30227036552515024</v>
      </c>
      <c r="BB84" s="83">
        <f t="shared" si="70"/>
        <v>0.32164217044344545</v>
      </c>
      <c r="BC84" s="83">
        <f t="shared" si="70"/>
        <v>0.27532051582210321</v>
      </c>
      <c r="BD84" s="83">
        <f t="shared" si="70"/>
        <v>0.2984417082982157</v>
      </c>
      <c r="BE84" s="83">
        <f t="shared" si="70"/>
        <v>0.28869746802401464</v>
      </c>
      <c r="BF84" s="83">
        <f t="shared" si="70"/>
        <v>0.32119771745454095</v>
      </c>
      <c r="BG84" s="83">
        <f t="shared" si="70"/>
        <v>0.30706571661951287</v>
      </c>
      <c r="BH84" s="83">
        <f t="shared" si="70"/>
        <v>0.3272766377002117</v>
      </c>
      <c r="BI84" s="83">
        <f t="shared" si="70"/>
        <v>0.3572366202610916</v>
      </c>
      <c r="BJ84" s="83">
        <f t="shared" si="70"/>
        <v>0.36018111804665259</v>
      </c>
      <c r="BK84" s="83">
        <f t="shared" ref="BK84:BL84" si="71">(BK82-BK81)/BK83</f>
        <v>0.37155082979930232</v>
      </c>
      <c r="BL84" s="83">
        <f t="shared" si="71"/>
        <v>0.3683646583117996</v>
      </c>
    </row>
    <row r="85" spans="1:64" ht="24.6" hidden="1" customHeight="1">
      <c r="A85" s="58"/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  <c r="AA85" s="58"/>
      <c r="AB85" s="58"/>
      <c r="AC85" s="58"/>
      <c r="AD85" s="58"/>
      <c r="AE85" s="67"/>
      <c r="AF85" s="67"/>
      <c r="AG85" s="67"/>
      <c r="AH85" s="67"/>
      <c r="AI85" s="67"/>
      <c r="AJ85" s="67"/>
      <c r="AK85" s="67"/>
      <c r="AL85" s="67"/>
      <c r="AM85" s="67"/>
      <c r="AN85" s="67"/>
      <c r="AO85" s="67"/>
      <c r="AP85" s="67"/>
      <c r="AQ85" s="67"/>
      <c r="AR85" s="67"/>
      <c r="AS85" s="67"/>
      <c r="AT85" s="67"/>
      <c r="AU85" s="67"/>
      <c r="AV85" s="67"/>
      <c r="AW85" s="67"/>
      <c r="AX85" s="67"/>
      <c r="AY85" s="67"/>
      <c r="AZ85" s="67"/>
      <c r="BA85" s="67"/>
      <c r="BB85" s="67"/>
      <c r="BC85" s="67"/>
      <c r="BD85" s="67"/>
      <c r="BE85" s="67"/>
      <c r="BF85" s="67"/>
      <c r="BG85" s="67"/>
      <c r="BH85" s="60"/>
      <c r="BI85" s="60"/>
      <c r="BJ85" s="60"/>
      <c r="BK85" s="60"/>
      <c r="BL85" s="60"/>
    </row>
    <row r="86" spans="1:64" ht="24.75" hidden="1" customHeight="1">
      <c r="A86" s="58"/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  <c r="AA86" s="58"/>
      <c r="AB86" s="58"/>
      <c r="AC86" s="58"/>
      <c r="AD86" s="58"/>
      <c r="AE86" s="67"/>
      <c r="AF86" s="67"/>
      <c r="AG86" s="67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7"/>
      <c r="BF86" s="67"/>
      <c r="BG86" s="67"/>
      <c r="BH86" s="60"/>
      <c r="BI86" s="60"/>
      <c r="BJ86" s="60"/>
      <c r="BK86" s="60"/>
      <c r="BL86" s="60"/>
    </row>
    <row r="87" spans="1:64" ht="24.75" hidden="1" customHeight="1">
      <c r="A87" s="58"/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  <c r="AA87" s="58"/>
      <c r="AB87" s="58"/>
      <c r="AC87" s="58"/>
      <c r="AD87" s="58"/>
      <c r="AE87" s="67" t="s">
        <v>754</v>
      </c>
      <c r="AF87" s="67"/>
      <c r="AG87" s="67"/>
      <c r="AH87" s="67"/>
      <c r="AI87" s="67"/>
      <c r="AJ87" s="67"/>
      <c r="AK87" s="67"/>
      <c r="AL87" s="67"/>
      <c r="AM87" s="67"/>
      <c r="AN87" s="67"/>
      <c r="AO87" s="67"/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7"/>
      <c r="BA87" s="67"/>
      <c r="BB87" s="67"/>
      <c r="BC87" s="67"/>
      <c r="BD87" s="67"/>
      <c r="BE87" s="67"/>
      <c r="BF87" s="67"/>
      <c r="BG87" s="67"/>
      <c r="BH87" s="60"/>
      <c r="BI87" s="60"/>
      <c r="BJ87" s="60"/>
      <c r="BK87" s="60"/>
      <c r="BL87" s="60"/>
    </row>
    <row r="88" spans="1:64" ht="24.75" hidden="1" customHeight="1">
      <c r="AE88" s="67" t="s">
        <v>755</v>
      </c>
      <c r="AF88" s="67"/>
      <c r="AG88" s="67"/>
      <c r="AH88" s="655" t="s">
        <v>520</v>
      </c>
      <c r="AI88" s="90" t="s">
        <v>498</v>
      </c>
      <c r="AJ88" s="90" t="s">
        <v>500</v>
      </c>
      <c r="AK88" s="90" t="s">
        <v>499</v>
      </c>
      <c r="AL88" s="90" t="s">
        <v>504</v>
      </c>
      <c r="AM88" s="90" t="s">
        <v>501</v>
      </c>
      <c r="AN88" s="90" t="s">
        <v>503</v>
      </c>
      <c r="AO88" s="90" t="s">
        <v>505</v>
      </c>
      <c r="AP88" s="90" t="s">
        <v>502</v>
      </c>
      <c r="AQ88" s="73" t="s">
        <v>514</v>
      </c>
      <c r="AR88" s="90" t="s">
        <v>513</v>
      </c>
      <c r="AS88" s="206"/>
      <c r="AT88" s="75" t="s">
        <v>756</v>
      </c>
      <c r="AU88" s="75"/>
      <c r="AV88" s="75"/>
      <c r="AW88" s="655" t="s">
        <v>520</v>
      </c>
      <c r="AX88" s="90" t="s">
        <v>499</v>
      </c>
      <c r="AY88" s="90" t="s">
        <v>498</v>
      </c>
      <c r="AZ88" s="90" t="s">
        <v>500</v>
      </c>
      <c r="BA88" s="90" t="s">
        <v>501</v>
      </c>
      <c r="BB88" s="90" t="s">
        <v>503</v>
      </c>
      <c r="BC88" s="90" t="s">
        <v>502</v>
      </c>
      <c r="BD88" s="90" t="s">
        <v>504</v>
      </c>
      <c r="BE88" s="90" t="s">
        <v>505</v>
      </c>
      <c r="BF88" s="73" t="s">
        <v>514</v>
      </c>
      <c r="BG88" s="90" t="s">
        <v>508</v>
      </c>
    </row>
    <row r="89" spans="1:64" ht="24.75" hidden="1" customHeight="1">
      <c r="AF89" s="67"/>
      <c r="AG89" s="67"/>
      <c r="AH89" s="656"/>
      <c r="AI89" s="74">
        <v>91544</v>
      </c>
      <c r="AJ89" s="74">
        <v>88417</v>
      </c>
      <c r="AK89" s="74">
        <v>85852</v>
      </c>
      <c r="AL89" s="74">
        <v>78528</v>
      </c>
      <c r="AM89" s="74">
        <v>77935</v>
      </c>
      <c r="AN89" s="74">
        <v>77117</v>
      </c>
      <c r="AO89" s="74">
        <v>77065</v>
      </c>
      <c r="AP89" s="74">
        <v>73825</v>
      </c>
      <c r="AQ89" s="71">
        <v>51459</v>
      </c>
      <c r="AR89" s="74">
        <v>37557</v>
      </c>
      <c r="AS89" s="206"/>
      <c r="AT89" s="207" t="s">
        <v>526</v>
      </c>
      <c r="AU89" s="75"/>
      <c r="AV89" s="75"/>
      <c r="AW89" s="656"/>
      <c r="AX89" s="74">
        <v>87438</v>
      </c>
      <c r="AY89" s="74">
        <v>87340</v>
      </c>
      <c r="AZ89" s="74">
        <v>83436</v>
      </c>
      <c r="BA89" s="74">
        <v>74034</v>
      </c>
      <c r="BB89" s="74">
        <v>74700</v>
      </c>
      <c r="BC89" s="74">
        <v>74700</v>
      </c>
      <c r="BD89" s="74">
        <v>75200</v>
      </c>
      <c r="BE89" s="74">
        <v>73200</v>
      </c>
      <c r="BF89" s="71">
        <v>36000</v>
      </c>
      <c r="BG89" s="74">
        <v>27500</v>
      </c>
    </row>
    <row r="90" spans="1:64" ht="24.75" hidden="1" customHeight="1">
      <c r="AE90" s="67"/>
      <c r="AF90" s="67"/>
      <c r="AG90" s="67"/>
      <c r="AH90" s="655" t="s">
        <v>521</v>
      </c>
      <c r="AI90" s="90" t="s">
        <v>498</v>
      </c>
      <c r="AJ90" s="90" t="s">
        <v>500</v>
      </c>
      <c r="AK90" s="90" t="s">
        <v>499</v>
      </c>
      <c r="AL90" s="90" t="s">
        <v>504</v>
      </c>
      <c r="AM90" s="90" t="s">
        <v>505</v>
      </c>
      <c r="AN90" s="90" t="s">
        <v>501</v>
      </c>
      <c r="AO90" s="90" t="s">
        <v>503</v>
      </c>
      <c r="AP90" s="73" t="s">
        <v>514</v>
      </c>
      <c r="AQ90" s="90" t="s">
        <v>502</v>
      </c>
      <c r="AR90" s="90" t="s">
        <v>513</v>
      </c>
      <c r="AS90" s="206"/>
      <c r="AT90" s="206"/>
      <c r="AU90" s="206"/>
      <c r="AV90" s="206"/>
      <c r="AW90" s="86"/>
      <c r="AX90" s="86"/>
      <c r="AY90" s="86"/>
      <c r="AZ90" s="86"/>
      <c r="BA90" s="86"/>
      <c r="BB90" s="86"/>
      <c r="BC90" s="86"/>
      <c r="BD90" s="86"/>
      <c r="BE90" s="86"/>
      <c r="BF90" s="86"/>
      <c r="BG90" s="86"/>
    </row>
    <row r="91" spans="1:64" ht="24.75" hidden="1" customHeight="1">
      <c r="AE91" s="67"/>
      <c r="AF91" s="67"/>
      <c r="AG91" s="67"/>
      <c r="AH91" s="656"/>
      <c r="AI91" s="74">
        <v>109551</v>
      </c>
      <c r="AJ91" s="74">
        <v>107990</v>
      </c>
      <c r="AK91" s="74">
        <v>104517</v>
      </c>
      <c r="AL91" s="74">
        <v>101533</v>
      </c>
      <c r="AM91" s="74">
        <v>99365</v>
      </c>
      <c r="AN91" s="74">
        <v>98162</v>
      </c>
      <c r="AO91" s="74">
        <v>98106</v>
      </c>
      <c r="AP91" s="71">
        <v>96682</v>
      </c>
      <c r="AQ91" s="74">
        <v>94045</v>
      </c>
      <c r="AR91" s="74">
        <v>79576</v>
      </c>
      <c r="AS91" s="206"/>
      <c r="AT91" s="206"/>
      <c r="AU91" s="206"/>
      <c r="AV91" s="206"/>
      <c r="AW91" s="86"/>
      <c r="AX91" s="86"/>
      <c r="AY91" s="86"/>
      <c r="AZ91" s="86"/>
      <c r="BA91" s="86"/>
      <c r="BB91" s="86"/>
      <c r="BC91" s="86"/>
      <c r="BD91" s="86"/>
      <c r="BE91" s="86"/>
      <c r="BF91" s="86"/>
      <c r="BG91" s="86"/>
    </row>
    <row r="92" spans="1:64" ht="24.75" hidden="1" customHeight="1">
      <c r="AH92" s="206"/>
      <c r="AI92" s="206"/>
      <c r="AJ92" s="206"/>
      <c r="AK92" s="206"/>
      <c r="AL92" s="206"/>
      <c r="AM92" s="206"/>
      <c r="AN92" s="206"/>
      <c r="AO92" s="206"/>
      <c r="AP92" s="206"/>
      <c r="AQ92" s="206"/>
      <c r="AR92" s="206"/>
      <c r="AS92" s="206"/>
      <c r="AT92" s="206"/>
      <c r="AU92" s="206"/>
      <c r="AV92" s="206"/>
      <c r="AW92" s="86"/>
      <c r="AX92" s="86"/>
      <c r="AY92" s="86"/>
      <c r="AZ92" s="86"/>
      <c r="BA92" s="86"/>
      <c r="BB92" s="86"/>
      <c r="BC92" s="86"/>
      <c r="BD92" s="86"/>
      <c r="BE92" s="86"/>
      <c r="BF92" s="86"/>
      <c r="BG92" s="86"/>
    </row>
    <row r="93" spans="1:64" ht="24.75" hidden="1" customHeight="1">
      <c r="AE93" s="67" t="s">
        <v>757</v>
      </c>
      <c r="AF93" s="67"/>
      <c r="AG93" s="67"/>
      <c r="AH93" s="655" t="s">
        <v>520</v>
      </c>
      <c r="AI93" s="90" t="s">
        <v>498</v>
      </c>
      <c r="AJ93" s="90" t="s">
        <v>500</v>
      </c>
      <c r="AK93" s="90" t="s">
        <v>499</v>
      </c>
      <c r="AL93" s="90" t="s">
        <v>504</v>
      </c>
      <c r="AM93" s="90" t="s">
        <v>501</v>
      </c>
      <c r="AN93" s="90" t="s">
        <v>503</v>
      </c>
      <c r="AO93" s="90" t="s">
        <v>505</v>
      </c>
      <c r="AP93" s="90" t="s">
        <v>502</v>
      </c>
      <c r="AQ93" s="73" t="s">
        <v>514</v>
      </c>
      <c r="AR93" s="90" t="s">
        <v>513</v>
      </c>
      <c r="AS93" s="206"/>
      <c r="AT93" s="75" t="s">
        <v>758</v>
      </c>
      <c r="AU93" s="75"/>
      <c r="AV93" s="75"/>
      <c r="AW93" s="655" t="s">
        <v>520</v>
      </c>
      <c r="AX93" s="73" t="s">
        <v>514</v>
      </c>
      <c r="AY93" s="90" t="s">
        <v>513</v>
      </c>
      <c r="AZ93" s="90" t="s">
        <v>505</v>
      </c>
      <c r="BA93" s="90" t="s">
        <v>504</v>
      </c>
      <c r="BB93" s="90" t="s">
        <v>512</v>
      </c>
      <c r="BC93" s="90" t="s">
        <v>508</v>
      </c>
      <c r="BD93" s="90" t="s">
        <v>509</v>
      </c>
      <c r="BE93" s="90" t="s">
        <v>511</v>
      </c>
      <c r="BF93" s="90" t="s">
        <v>503</v>
      </c>
      <c r="BG93" s="90" t="s">
        <v>510</v>
      </c>
    </row>
    <row r="94" spans="1:64" ht="24.75" hidden="1" customHeight="1">
      <c r="AF94" s="67"/>
      <c r="AG94" s="67"/>
      <c r="AH94" s="656"/>
      <c r="AI94" s="74">
        <v>146578</v>
      </c>
      <c r="AJ94" s="74">
        <v>143446</v>
      </c>
      <c r="AK94" s="74">
        <v>140886</v>
      </c>
      <c r="AL94" s="74">
        <v>133526</v>
      </c>
      <c r="AM94" s="74">
        <v>132954</v>
      </c>
      <c r="AN94" s="74">
        <v>132122</v>
      </c>
      <c r="AO94" s="74">
        <v>132057</v>
      </c>
      <c r="AP94" s="74">
        <v>128836</v>
      </c>
      <c r="AQ94" s="71">
        <v>106435</v>
      </c>
      <c r="AR94" s="74">
        <v>92535</v>
      </c>
      <c r="AS94" s="206"/>
      <c r="AT94" s="206"/>
      <c r="AU94" s="75"/>
      <c r="AV94" s="75"/>
      <c r="AW94" s="656"/>
      <c r="AX94" s="88">
        <v>0.372</v>
      </c>
      <c r="AY94" s="87">
        <v>0.35699999999999998</v>
      </c>
      <c r="AZ94" s="87">
        <v>0.35299999999999998</v>
      </c>
      <c r="BA94" s="87">
        <v>0.316</v>
      </c>
      <c r="BB94" s="87">
        <v>0.307</v>
      </c>
      <c r="BC94" s="87">
        <v>0.30399999999999999</v>
      </c>
      <c r="BD94" s="87">
        <v>0.30199999999999999</v>
      </c>
      <c r="BE94" s="87">
        <v>0.28899999999999998</v>
      </c>
      <c r="BF94" s="87">
        <v>0.27800000000000002</v>
      </c>
      <c r="BG94" s="87">
        <v>0.27500000000000002</v>
      </c>
    </row>
    <row r="95" spans="1:64" ht="24.75" hidden="1" customHeight="1">
      <c r="AE95" s="67"/>
      <c r="AF95" s="67"/>
      <c r="AG95" s="67"/>
      <c r="AH95" s="655" t="s">
        <v>521</v>
      </c>
      <c r="AI95" s="90" t="s">
        <v>500</v>
      </c>
      <c r="AJ95" s="90" t="s">
        <v>498</v>
      </c>
      <c r="AK95" s="90" t="s">
        <v>504</v>
      </c>
      <c r="AL95" s="90" t="s">
        <v>505</v>
      </c>
      <c r="AM95" s="90" t="s">
        <v>499</v>
      </c>
      <c r="AN95" s="73" t="s">
        <v>514</v>
      </c>
      <c r="AO95" s="90" t="s">
        <v>501</v>
      </c>
      <c r="AP95" s="90" t="s">
        <v>503</v>
      </c>
      <c r="AQ95" s="90" t="s">
        <v>502</v>
      </c>
      <c r="AR95" s="90" t="s">
        <v>513</v>
      </c>
      <c r="AS95" s="206"/>
      <c r="AT95" s="75"/>
      <c r="AU95" s="75"/>
      <c r="AV95" s="75"/>
      <c r="AW95" s="655" t="s">
        <v>521</v>
      </c>
      <c r="AX95" s="73" t="s">
        <v>514</v>
      </c>
      <c r="AY95" s="90" t="s">
        <v>505</v>
      </c>
      <c r="AZ95" s="90" t="s">
        <v>513</v>
      </c>
      <c r="BA95" s="90" t="s">
        <v>512</v>
      </c>
      <c r="BB95" s="90" t="s">
        <v>504</v>
      </c>
      <c r="BC95" s="90" t="s">
        <v>509</v>
      </c>
      <c r="BD95" s="90" t="s">
        <v>511</v>
      </c>
      <c r="BE95" s="90" t="s">
        <v>508</v>
      </c>
      <c r="BF95" s="90" t="s">
        <v>510</v>
      </c>
      <c r="BG95" s="90" t="s">
        <v>506</v>
      </c>
    </row>
    <row r="96" spans="1:64" ht="24.6" hidden="1" customHeight="1">
      <c r="AE96" s="67"/>
      <c r="AF96" s="67"/>
      <c r="AG96" s="67"/>
      <c r="AH96" s="656"/>
      <c r="AI96" s="74">
        <v>158230</v>
      </c>
      <c r="AJ96" s="74">
        <v>156800</v>
      </c>
      <c r="AK96" s="74">
        <v>152054</v>
      </c>
      <c r="AL96" s="74">
        <v>152034</v>
      </c>
      <c r="AM96" s="74">
        <v>151766</v>
      </c>
      <c r="AN96" s="71">
        <v>149420</v>
      </c>
      <c r="AO96" s="74">
        <v>148592</v>
      </c>
      <c r="AP96" s="74">
        <v>148375</v>
      </c>
      <c r="AQ96" s="74">
        <v>144409</v>
      </c>
      <c r="AR96" s="74">
        <v>132316</v>
      </c>
      <c r="AS96" s="206"/>
      <c r="AT96" s="75"/>
      <c r="AU96" s="75"/>
      <c r="AV96" s="75"/>
      <c r="AW96" s="656"/>
      <c r="AX96" s="88">
        <v>0.36799999999999999</v>
      </c>
      <c r="AY96" s="87">
        <v>0.36099999999999999</v>
      </c>
      <c r="AZ96" s="87">
        <v>0.36</v>
      </c>
      <c r="BA96" s="87">
        <v>0.32700000000000001</v>
      </c>
      <c r="BB96" s="87">
        <v>0.32300000000000001</v>
      </c>
      <c r="BC96" s="87">
        <v>0.32200000000000001</v>
      </c>
      <c r="BD96" s="87">
        <v>0.32100000000000001</v>
      </c>
      <c r="BE96" s="87">
        <v>0.318</v>
      </c>
      <c r="BF96" s="87">
        <v>0.29799999999999999</v>
      </c>
      <c r="BG96" s="87">
        <v>0.28499999999999998</v>
      </c>
    </row>
    <row r="97" spans="31:59" ht="24.6" hidden="1" customHeight="1">
      <c r="AH97" s="206"/>
      <c r="AI97" s="206"/>
      <c r="AJ97" s="206"/>
      <c r="AK97" s="206"/>
      <c r="AL97" s="206"/>
      <c r="AM97" s="206"/>
      <c r="AN97" s="206"/>
      <c r="AO97" s="206"/>
      <c r="AP97" s="206"/>
      <c r="AQ97" s="206"/>
      <c r="AR97" s="206"/>
      <c r="AS97" s="206"/>
      <c r="AT97" s="206"/>
      <c r="AU97" s="206"/>
      <c r="AV97" s="206"/>
      <c r="AW97" s="86"/>
      <c r="AX97" s="86"/>
      <c r="AY97" s="86"/>
      <c r="AZ97" s="86"/>
      <c r="BA97" s="86"/>
      <c r="BB97" s="86"/>
      <c r="BC97" s="86"/>
      <c r="BD97" s="86"/>
      <c r="BE97" s="86"/>
      <c r="BF97" s="86"/>
      <c r="BG97" s="86"/>
    </row>
    <row r="98" spans="31:59" ht="24.6" hidden="1" customHeight="1">
      <c r="AE98" s="67" t="s">
        <v>759</v>
      </c>
      <c r="AF98" s="67"/>
      <c r="AG98" s="67"/>
      <c r="AH98" s="655" t="s">
        <v>520</v>
      </c>
      <c r="AI98" s="90" t="s">
        <v>504</v>
      </c>
      <c r="AJ98" s="90" t="s">
        <v>513</v>
      </c>
      <c r="AK98" s="90" t="s">
        <v>505</v>
      </c>
      <c r="AL98" s="90" t="s">
        <v>512</v>
      </c>
      <c r="AM98" s="90" t="s">
        <v>503</v>
      </c>
      <c r="AN98" s="90" t="s">
        <v>511</v>
      </c>
      <c r="AO98" s="73" t="s">
        <v>514</v>
      </c>
      <c r="AP98" s="90" t="s">
        <v>506</v>
      </c>
      <c r="AQ98" s="90" t="s">
        <v>499</v>
      </c>
      <c r="AR98" s="90" t="s">
        <v>498</v>
      </c>
      <c r="AS98" s="206"/>
      <c r="AT98" s="206"/>
      <c r="AU98" s="206"/>
      <c r="AV98" s="206"/>
      <c r="AW98" s="86"/>
      <c r="AX98" s="86"/>
      <c r="AY98" s="86"/>
      <c r="AZ98" s="86"/>
      <c r="BA98" s="86"/>
      <c r="BB98" s="86"/>
      <c r="BC98" s="86"/>
      <c r="BD98" s="86"/>
      <c r="BE98" s="86"/>
      <c r="BF98" s="86"/>
      <c r="BG98" s="86"/>
    </row>
    <row r="99" spans="31:59" ht="24.6" hidden="1" customHeight="1">
      <c r="AF99" s="67"/>
      <c r="AG99" s="67"/>
      <c r="AH99" s="656"/>
      <c r="AI99" s="74">
        <v>26896</v>
      </c>
      <c r="AJ99" s="74">
        <v>26119</v>
      </c>
      <c r="AK99" s="74">
        <v>25795</v>
      </c>
      <c r="AL99" s="74">
        <v>22033</v>
      </c>
      <c r="AM99" s="74">
        <v>21391</v>
      </c>
      <c r="AN99" s="74">
        <v>20353</v>
      </c>
      <c r="AO99" s="71">
        <v>19989</v>
      </c>
      <c r="AP99" s="74">
        <v>16114</v>
      </c>
      <c r="AQ99" s="74">
        <v>14523</v>
      </c>
      <c r="AR99" s="74">
        <v>14451</v>
      </c>
      <c r="AS99" s="206"/>
      <c r="AT99" s="206"/>
      <c r="AU99" s="206"/>
      <c r="AV99" s="206"/>
      <c r="AW99" s="86"/>
      <c r="AX99" s="86"/>
      <c r="AY99" s="86"/>
      <c r="AZ99" s="86"/>
      <c r="BA99" s="86"/>
      <c r="BB99" s="86"/>
      <c r="BC99" s="86"/>
      <c r="BD99" s="86"/>
      <c r="BE99" s="86"/>
      <c r="BF99" s="86"/>
      <c r="BG99" s="86"/>
    </row>
    <row r="100" spans="31:59" ht="24.6" hidden="1" customHeight="1">
      <c r="AE100" s="67"/>
      <c r="AF100" s="67"/>
      <c r="AG100" s="67"/>
      <c r="AH100" s="655" t="s">
        <v>521</v>
      </c>
      <c r="AI100" s="90" t="s">
        <v>504</v>
      </c>
      <c r="AJ100" s="90" t="s">
        <v>513</v>
      </c>
      <c r="AK100" s="90" t="s">
        <v>505</v>
      </c>
      <c r="AL100" s="90" t="s">
        <v>512</v>
      </c>
      <c r="AM100" s="90" t="s">
        <v>503</v>
      </c>
      <c r="AN100" s="90" t="s">
        <v>511</v>
      </c>
      <c r="AO100" s="73" t="s">
        <v>514</v>
      </c>
      <c r="AP100" s="90" t="s">
        <v>506</v>
      </c>
      <c r="AQ100" s="90" t="s">
        <v>498</v>
      </c>
      <c r="AR100" s="90" t="s">
        <v>499</v>
      </c>
      <c r="AS100" s="206"/>
      <c r="AT100" s="206"/>
      <c r="AU100" s="206"/>
      <c r="AV100" s="206"/>
      <c r="AW100" s="86"/>
      <c r="AX100" s="86"/>
      <c r="AY100" s="86"/>
      <c r="AZ100" s="86"/>
      <c r="BA100" s="86"/>
      <c r="BB100" s="86"/>
      <c r="BC100" s="86"/>
      <c r="BD100" s="86"/>
      <c r="BE100" s="86"/>
      <c r="BF100" s="86"/>
      <c r="BG100" s="86"/>
    </row>
    <row r="101" spans="31:59" ht="24.75" hidden="1" customHeight="1">
      <c r="AE101" s="67"/>
      <c r="AF101" s="67"/>
      <c r="AG101" s="67"/>
      <c r="AH101" s="656"/>
      <c r="AI101" s="74">
        <v>27865</v>
      </c>
      <c r="AJ101" s="74">
        <v>27015</v>
      </c>
      <c r="AK101" s="74">
        <v>26737</v>
      </c>
      <c r="AL101" s="74">
        <v>22937</v>
      </c>
      <c r="AM101" s="74">
        <v>22144</v>
      </c>
      <c r="AN101" s="74">
        <v>21115</v>
      </c>
      <c r="AO101" s="71">
        <v>20675</v>
      </c>
      <c r="AP101" s="74">
        <v>19507</v>
      </c>
      <c r="AQ101" s="74">
        <v>14910</v>
      </c>
      <c r="AR101" s="74">
        <v>14576</v>
      </c>
      <c r="AS101" s="206"/>
      <c r="AT101" s="206"/>
      <c r="AU101" s="206"/>
      <c r="AV101" s="206"/>
      <c r="AW101" s="86"/>
      <c r="AX101" s="86"/>
      <c r="AY101" s="86"/>
      <c r="AZ101" s="86"/>
      <c r="BA101" s="86"/>
      <c r="BB101" s="86"/>
      <c r="BC101" s="86"/>
      <c r="BD101" s="86"/>
      <c r="BE101" s="86"/>
      <c r="BF101" s="86"/>
      <c r="BG101" s="86"/>
    </row>
    <row r="102" spans="31:59" ht="24.75" hidden="1" customHeight="1">
      <c r="AH102" s="206"/>
      <c r="AI102" s="206"/>
      <c r="AJ102" s="206"/>
      <c r="AK102" s="206"/>
      <c r="AL102" s="206"/>
      <c r="AM102" s="206"/>
      <c r="AN102" s="206"/>
      <c r="AO102" s="206"/>
      <c r="AP102" s="206"/>
      <c r="AQ102" s="206"/>
      <c r="AR102" s="206"/>
      <c r="AS102" s="206"/>
      <c r="AT102" s="206"/>
      <c r="AU102" s="206"/>
      <c r="AV102" s="206"/>
      <c r="AW102" s="86"/>
      <c r="AX102" s="86"/>
      <c r="AY102" s="86"/>
      <c r="AZ102" s="86"/>
      <c r="BA102" s="86"/>
      <c r="BB102" s="86"/>
      <c r="BC102" s="86"/>
      <c r="BD102" s="86"/>
      <c r="BE102" s="86"/>
      <c r="BF102" s="86"/>
      <c r="BG102" s="86"/>
    </row>
    <row r="103" spans="31:59" ht="24.75" hidden="1" customHeight="1">
      <c r="AE103" s="67" t="s">
        <v>760</v>
      </c>
      <c r="AF103" s="67"/>
      <c r="AG103" s="67"/>
      <c r="AH103" s="655" t="s">
        <v>520</v>
      </c>
      <c r="AI103" s="90" t="s">
        <v>498</v>
      </c>
      <c r="AJ103" s="90" t="s">
        <v>504</v>
      </c>
      <c r="AK103" s="90" t="s">
        <v>505</v>
      </c>
      <c r="AL103" s="90" t="s">
        <v>499</v>
      </c>
      <c r="AM103" s="90" t="s">
        <v>500</v>
      </c>
      <c r="AN103" s="90" t="s">
        <v>503</v>
      </c>
      <c r="AO103" s="90" t="s">
        <v>501</v>
      </c>
      <c r="AP103" s="90" t="s">
        <v>502</v>
      </c>
      <c r="AQ103" s="73" t="s">
        <v>514</v>
      </c>
      <c r="AR103" s="90" t="s">
        <v>513</v>
      </c>
      <c r="AS103" s="206"/>
      <c r="AT103" s="206"/>
      <c r="AU103" s="206"/>
      <c r="AV103" s="206"/>
      <c r="AW103" s="86"/>
      <c r="AX103" s="86"/>
      <c r="AY103" s="86"/>
      <c r="AZ103" s="86"/>
      <c r="BA103" s="86"/>
      <c r="BB103" s="86"/>
      <c r="BC103" s="86"/>
      <c r="BD103" s="86"/>
      <c r="BE103" s="86"/>
      <c r="BF103" s="86"/>
      <c r="BG103" s="86"/>
    </row>
    <row r="104" spans="31:59" ht="24.75" hidden="1" customHeight="1">
      <c r="AF104" s="67"/>
      <c r="AG104" s="67"/>
      <c r="AH104" s="656"/>
      <c r="AI104" s="74">
        <v>161030</v>
      </c>
      <c r="AJ104" s="74">
        <v>160423</v>
      </c>
      <c r="AK104" s="74">
        <v>157852</v>
      </c>
      <c r="AL104" s="74">
        <v>155410</v>
      </c>
      <c r="AM104" s="74">
        <v>153758</v>
      </c>
      <c r="AN104" s="74">
        <v>153514</v>
      </c>
      <c r="AO104" s="74">
        <v>144959</v>
      </c>
      <c r="AP104" s="74">
        <v>142756</v>
      </c>
      <c r="AQ104" s="71">
        <v>126425</v>
      </c>
      <c r="AR104" s="74">
        <v>118654</v>
      </c>
      <c r="AS104" s="206"/>
      <c r="AT104" s="206"/>
      <c r="AU104" s="206"/>
      <c r="AV104" s="206"/>
      <c r="AW104" s="86"/>
      <c r="AX104" s="86"/>
      <c r="AY104" s="86"/>
      <c r="AZ104" s="86"/>
      <c r="BA104" s="86"/>
      <c r="BB104" s="86"/>
      <c r="BC104" s="86"/>
      <c r="BD104" s="86"/>
      <c r="BE104" s="86"/>
      <c r="BF104" s="86"/>
      <c r="BG104" s="86"/>
    </row>
    <row r="105" spans="31:59" ht="24.75" hidden="1" customHeight="1">
      <c r="AE105" s="67"/>
      <c r="AF105" s="67"/>
      <c r="AG105" s="67"/>
      <c r="AH105" s="655" t="s">
        <v>521</v>
      </c>
      <c r="AI105" s="90" t="s">
        <v>505</v>
      </c>
      <c r="AJ105" s="90" t="s">
        <v>504</v>
      </c>
      <c r="AK105" s="90" t="s">
        <v>498</v>
      </c>
      <c r="AL105" s="90" t="s">
        <v>503</v>
      </c>
      <c r="AM105" s="90" t="s">
        <v>499</v>
      </c>
      <c r="AN105" s="90" t="s">
        <v>500</v>
      </c>
      <c r="AO105" s="73" t="s">
        <v>514</v>
      </c>
      <c r="AP105" s="90" t="s">
        <v>501</v>
      </c>
      <c r="AQ105" s="90" t="s">
        <v>502</v>
      </c>
      <c r="AR105" s="90" t="s">
        <v>513</v>
      </c>
      <c r="AS105" s="206"/>
      <c r="AT105" s="206"/>
      <c r="AU105" s="206"/>
      <c r="AV105" s="206"/>
      <c r="AW105" s="86"/>
      <c r="AX105" s="86"/>
      <c r="AY105" s="86"/>
      <c r="AZ105" s="86"/>
      <c r="BA105" s="86"/>
      <c r="BB105" s="86"/>
      <c r="BC105" s="86"/>
      <c r="BD105" s="86"/>
      <c r="BE105" s="86"/>
      <c r="BF105" s="86"/>
      <c r="BG105" s="86"/>
    </row>
    <row r="106" spans="31:59" ht="24.75" hidden="1" customHeight="1">
      <c r="AE106" s="67"/>
      <c r="AF106" s="67"/>
      <c r="AG106" s="67"/>
      <c r="AH106" s="656"/>
      <c r="AI106" s="74">
        <v>184233</v>
      </c>
      <c r="AJ106" s="74">
        <v>183947</v>
      </c>
      <c r="AK106" s="74">
        <v>178522</v>
      </c>
      <c r="AL106" s="74">
        <v>173813</v>
      </c>
      <c r="AM106" s="74">
        <v>172397</v>
      </c>
      <c r="AN106" s="74">
        <v>171361</v>
      </c>
      <c r="AO106" s="71">
        <v>169082</v>
      </c>
      <c r="AP106" s="74">
        <v>163730</v>
      </c>
      <c r="AQ106" s="74">
        <v>161273</v>
      </c>
      <c r="AR106" s="74">
        <v>159924</v>
      </c>
      <c r="AS106" s="206"/>
      <c r="AT106" s="206"/>
      <c r="AU106" s="206"/>
      <c r="AV106" s="206"/>
      <c r="AW106" s="86"/>
      <c r="AX106" s="86"/>
      <c r="AY106" s="86"/>
      <c r="AZ106" s="86"/>
      <c r="BA106" s="86"/>
      <c r="BB106" s="86"/>
      <c r="BC106" s="86"/>
      <c r="BD106" s="86"/>
      <c r="BE106" s="86"/>
      <c r="BF106" s="86"/>
      <c r="BG106" s="86"/>
    </row>
    <row r="107" spans="31:59" ht="24.75" hidden="1" customHeight="1">
      <c r="AH107" s="206"/>
      <c r="AI107" s="206"/>
      <c r="AJ107" s="206"/>
      <c r="AK107" s="206"/>
      <c r="AL107" s="206"/>
      <c r="AM107" s="206"/>
      <c r="AN107" s="206"/>
      <c r="AO107" s="206"/>
      <c r="AP107" s="206"/>
      <c r="AQ107" s="206"/>
      <c r="AR107" s="206"/>
      <c r="AS107" s="206"/>
      <c r="AT107" s="206"/>
      <c r="AU107" s="206"/>
      <c r="AV107" s="206"/>
      <c r="AW107" s="86"/>
      <c r="AX107" s="86"/>
      <c r="AY107" s="86"/>
      <c r="AZ107" s="86"/>
      <c r="BA107" s="86"/>
      <c r="BB107" s="86"/>
      <c r="BC107" s="86"/>
      <c r="BD107" s="86"/>
      <c r="BE107" s="86"/>
      <c r="BF107" s="86"/>
      <c r="BG107" s="86"/>
    </row>
    <row r="108" spans="31:59" ht="24.75" hidden="1" customHeight="1">
      <c r="AH108" s="206"/>
      <c r="AI108" s="206"/>
      <c r="AJ108" s="206"/>
      <c r="AK108" s="206"/>
      <c r="AL108" s="206"/>
      <c r="AM108" s="206"/>
      <c r="AN108" s="206"/>
      <c r="AO108" s="206"/>
      <c r="AP108" s="206"/>
      <c r="AQ108" s="206"/>
      <c r="AR108" s="206"/>
      <c r="AS108" s="206"/>
      <c r="AT108" s="206"/>
      <c r="AU108" s="206"/>
      <c r="AV108" s="206"/>
      <c r="AW108" s="86"/>
      <c r="AX108" s="86"/>
      <c r="AY108" s="86"/>
      <c r="AZ108" s="86"/>
      <c r="BA108" s="86"/>
      <c r="BB108" s="86"/>
      <c r="BC108" s="86"/>
      <c r="BD108" s="86"/>
      <c r="BE108" s="86"/>
      <c r="BF108" s="86"/>
      <c r="BG108" s="86"/>
    </row>
    <row r="109" spans="31:59" ht="24.75" customHeight="1">
      <c r="AH109" s="206"/>
      <c r="AI109" s="206"/>
      <c r="AJ109" s="206"/>
      <c r="AK109" s="206"/>
      <c r="AL109" s="206"/>
      <c r="AM109" s="206"/>
      <c r="AN109" s="206"/>
      <c r="AO109" s="206"/>
      <c r="AP109" s="206"/>
      <c r="AQ109" s="206"/>
      <c r="AR109" s="206"/>
      <c r="AS109" s="206"/>
      <c r="AT109" s="206"/>
      <c r="AU109" s="206"/>
      <c r="AV109" s="206"/>
      <c r="AW109" s="86"/>
      <c r="AX109" s="86"/>
      <c r="AY109" s="86"/>
      <c r="AZ109" s="86"/>
      <c r="BA109" s="86"/>
      <c r="BB109" s="86"/>
      <c r="BC109" s="86"/>
      <c r="BD109" s="86"/>
      <c r="BE109" s="86"/>
      <c r="BF109" s="86"/>
      <c r="BG109" s="86"/>
    </row>
    <row r="110" spans="31:59" ht="24.75" customHeight="1">
      <c r="AH110" s="206"/>
      <c r="AI110" s="206"/>
      <c r="AJ110" s="206"/>
      <c r="AK110" s="206"/>
      <c r="AL110" s="206"/>
      <c r="AM110" s="206"/>
      <c r="AN110" s="206"/>
      <c r="AO110" s="206"/>
      <c r="AP110" s="206"/>
      <c r="AQ110" s="206"/>
      <c r="AR110" s="206"/>
      <c r="AS110" s="206"/>
      <c r="AT110" s="206"/>
      <c r="AU110" s="206"/>
      <c r="AV110" s="206"/>
      <c r="AW110" s="86"/>
      <c r="AX110" s="86"/>
      <c r="AY110" s="86"/>
      <c r="AZ110" s="86"/>
      <c r="BA110" s="86"/>
      <c r="BB110" s="86"/>
      <c r="BC110" s="86"/>
      <c r="BD110" s="86"/>
      <c r="BE110" s="86"/>
      <c r="BF110" s="86"/>
      <c r="BG110" s="86"/>
    </row>
    <row r="111" spans="31:59" ht="24.75" customHeight="1">
      <c r="AH111" s="206"/>
      <c r="AI111" s="206"/>
      <c r="AJ111" s="206"/>
      <c r="AK111" s="206"/>
      <c r="AL111" s="206"/>
      <c r="AM111" s="206"/>
      <c r="AN111" s="206"/>
      <c r="AO111" s="206"/>
      <c r="AP111" s="206"/>
      <c r="AQ111" s="206"/>
      <c r="AR111" s="206"/>
      <c r="AS111" s="206"/>
      <c r="AT111" s="206"/>
      <c r="AU111" s="206"/>
      <c r="AV111" s="206"/>
      <c r="AW111" s="86"/>
      <c r="AX111" s="86"/>
      <c r="AY111" s="86"/>
      <c r="AZ111" s="86"/>
      <c r="BA111" s="86"/>
      <c r="BB111" s="86"/>
      <c r="BC111" s="86"/>
      <c r="BD111" s="86"/>
      <c r="BE111" s="86"/>
      <c r="BF111" s="86"/>
      <c r="BG111" s="86"/>
    </row>
    <row r="112" spans="31:59" ht="24.75" customHeight="1">
      <c r="AH112" s="206"/>
      <c r="AI112" s="206"/>
      <c r="AJ112" s="206"/>
      <c r="AK112" s="206"/>
      <c r="AL112" s="206"/>
      <c r="AM112" s="206"/>
      <c r="AN112" s="206"/>
      <c r="AO112" s="206"/>
      <c r="AP112" s="206"/>
      <c r="AQ112" s="206"/>
      <c r="AR112" s="206"/>
      <c r="AS112" s="206"/>
      <c r="AT112" s="206"/>
      <c r="AU112" s="206"/>
      <c r="AV112" s="206"/>
      <c r="AW112" s="86"/>
      <c r="AX112" s="86"/>
      <c r="AY112" s="86"/>
      <c r="AZ112" s="86"/>
      <c r="BA112" s="86"/>
      <c r="BB112" s="86"/>
      <c r="BC112" s="86"/>
      <c r="BD112" s="86"/>
      <c r="BE112" s="86"/>
      <c r="BF112" s="86"/>
      <c r="BG112" s="86"/>
    </row>
    <row r="113" spans="34:59" ht="24.75" customHeight="1">
      <c r="AH113" s="206"/>
      <c r="AI113" s="206"/>
      <c r="AJ113" s="206"/>
      <c r="AK113" s="206"/>
      <c r="AL113" s="206"/>
      <c r="AM113" s="206"/>
      <c r="AN113" s="206"/>
      <c r="AO113" s="206"/>
      <c r="AP113" s="206"/>
      <c r="AQ113" s="206"/>
      <c r="AR113" s="206"/>
      <c r="AS113" s="206"/>
      <c r="AT113" s="206"/>
      <c r="AU113" s="206"/>
      <c r="AV113" s="206"/>
      <c r="AW113" s="86"/>
      <c r="AX113" s="86"/>
      <c r="AY113" s="86"/>
      <c r="AZ113" s="86"/>
      <c r="BA113" s="86"/>
      <c r="BB113" s="86"/>
      <c r="BC113" s="86"/>
      <c r="BD113" s="86"/>
      <c r="BE113" s="86"/>
      <c r="BF113" s="86"/>
      <c r="BG113" s="86"/>
    </row>
    <row r="114" spans="34:59" ht="24.75" customHeight="1">
      <c r="AH114" s="206"/>
      <c r="AI114" s="206"/>
      <c r="AJ114" s="206"/>
      <c r="AK114" s="206"/>
      <c r="AL114" s="206"/>
      <c r="AM114" s="206"/>
      <c r="AN114" s="206"/>
      <c r="AO114" s="206"/>
      <c r="AP114" s="206"/>
      <c r="AQ114" s="206"/>
      <c r="AR114" s="206"/>
      <c r="AS114" s="206"/>
      <c r="AT114" s="206"/>
      <c r="AU114" s="206"/>
      <c r="AV114" s="206"/>
      <c r="AW114" s="86"/>
      <c r="AX114" s="86"/>
      <c r="AY114" s="86"/>
      <c r="AZ114" s="86"/>
      <c r="BA114" s="86"/>
      <c r="BB114" s="86"/>
      <c r="BC114" s="86"/>
      <c r="BD114" s="86"/>
      <c r="BE114" s="86"/>
      <c r="BF114" s="86"/>
      <c r="BG114" s="86"/>
    </row>
    <row r="115" spans="34:59" ht="24.75" customHeight="1">
      <c r="AH115" s="206"/>
      <c r="AI115" s="206"/>
      <c r="AJ115" s="206"/>
      <c r="AK115" s="206"/>
      <c r="AL115" s="206"/>
      <c r="AM115" s="206"/>
      <c r="AN115" s="206"/>
      <c r="AO115" s="206"/>
      <c r="AP115" s="206"/>
      <c r="AQ115" s="206"/>
      <c r="AR115" s="206"/>
      <c r="AS115" s="206"/>
      <c r="AT115" s="206"/>
      <c r="AU115" s="206"/>
      <c r="AV115" s="206"/>
      <c r="AW115" s="86"/>
      <c r="AX115" s="86"/>
      <c r="AY115" s="86"/>
      <c r="AZ115" s="86"/>
      <c r="BA115" s="86"/>
      <c r="BB115" s="86"/>
      <c r="BC115" s="86"/>
      <c r="BD115" s="86"/>
      <c r="BE115" s="86"/>
      <c r="BF115" s="86"/>
      <c r="BG115" s="86"/>
    </row>
    <row r="116" spans="34:59" ht="24.75" customHeight="1">
      <c r="AH116" s="206"/>
      <c r="AI116" s="206"/>
      <c r="AJ116" s="206"/>
      <c r="AK116" s="206"/>
      <c r="AL116" s="206"/>
      <c r="AM116" s="206"/>
      <c r="AN116" s="206"/>
      <c r="AO116" s="206"/>
      <c r="AP116" s="206"/>
      <c r="AQ116" s="206"/>
      <c r="AR116" s="206"/>
      <c r="AS116" s="206"/>
      <c r="AT116" s="206"/>
      <c r="AU116" s="206"/>
      <c r="AV116" s="206"/>
      <c r="AW116" s="86"/>
      <c r="AX116" s="86"/>
      <c r="AY116" s="86"/>
      <c r="AZ116" s="86"/>
      <c r="BA116" s="86"/>
      <c r="BB116" s="86"/>
      <c r="BC116" s="86"/>
      <c r="BD116" s="86"/>
      <c r="BE116" s="86"/>
      <c r="BF116" s="86"/>
      <c r="BG116" s="86"/>
    </row>
    <row r="117" spans="34:59" ht="24.75" customHeight="1">
      <c r="AH117" s="206"/>
      <c r="AI117" s="206"/>
      <c r="AJ117" s="206"/>
      <c r="AK117" s="206"/>
      <c r="AL117" s="206"/>
      <c r="AM117" s="206"/>
      <c r="AN117" s="206"/>
      <c r="AO117" s="206"/>
      <c r="AP117" s="206"/>
      <c r="AQ117" s="206"/>
      <c r="AR117" s="206"/>
      <c r="AS117" s="206"/>
      <c r="AT117" s="206"/>
      <c r="AU117" s="206"/>
      <c r="AV117" s="206"/>
      <c r="AW117" s="86"/>
      <c r="AX117" s="86"/>
      <c r="AY117" s="86"/>
      <c r="AZ117" s="86"/>
      <c r="BA117" s="86"/>
      <c r="BB117" s="86"/>
      <c r="BC117" s="86"/>
      <c r="BD117" s="86"/>
      <c r="BE117" s="86"/>
      <c r="BF117" s="86"/>
      <c r="BG117" s="86"/>
    </row>
    <row r="118" spans="34:59" ht="24.75" customHeight="1">
      <c r="AH118" s="206"/>
      <c r="AI118" s="206"/>
      <c r="AJ118" s="206"/>
      <c r="AK118" s="206"/>
      <c r="AL118" s="206"/>
      <c r="AM118" s="206"/>
      <c r="AN118" s="206"/>
      <c r="AO118" s="206"/>
      <c r="AP118" s="206"/>
      <c r="AQ118" s="206"/>
      <c r="AR118" s="206"/>
      <c r="AS118" s="206"/>
      <c r="AT118" s="206"/>
      <c r="AU118" s="206"/>
      <c r="AV118" s="206"/>
      <c r="AW118" s="86"/>
      <c r="AX118" s="86"/>
      <c r="AY118" s="86"/>
      <c r="AZ118" s="86"/>
      <c r="BA118" s="86"/>
      <c r="BB118" s="86"/>
      <c r="BC118" s="86"/>
      <c r="BD118" s="86"/>
      <c r="BE118" s="86"/>
      <c r="BF118" s="86"/>
      <c r="BG118" s="86"/>
    </row>
    <row r="119" spans="34:59" ht="24.75" customHeight="1">
      <c r="AH119" s="206"/>
      <c r="AI119" s="206"/>
      <c r="AJ119" s="206"/>
      <c r="AK119" s="206"/>
      <c r="AL119" s="206"/>
      <c r="AM119" s="206"/>
      <c r="AN119" s="206"/>
      <c r="AO119" s="206"/>
      <c r="AP119" s="206"/>
      <c r="AQ119" s="206"/>
      <c r="AR119" s="206"/>
      <c r="AS119" s="206"/>
      <c r="AT119" s="206"/>
      <c r="AU119" s="206"/>
      <c r="AV119" s="206"/>
      <c r="AW119" s="86"/>
      <c r="AX119" s="86"/>
      <c r="AY119" s="86"/>
      <c r="AZ119" s="86"/>
      <c r="BA119" s="86"/>
      <c r="BB119" s="86"/>
      <c r="BC119" s="86"/>
      <c r="BD119" s="86"/>
      <c r="BE119" s="86"/>
      <c r="BF119" s="86"/>
      <c r="BG119" s="86"/>
    </row>
    <row r="120" spans="34:59" ht="24.75" customHeight="1">
      <c r="AH120" s="206"/>
      <c r="AI120" s="206"/>
      <c r="AJ120" s="206"/>
      <c r="AK120" s="206"/>
      <c r="AL120" s="206"/>
      <c r="AM120" s="206"/>
      <c r="AN120" s="206"/>
      <c r="AO120" s="206"/>
      <c r="AP120" s="206"/>
      <c r="AQ120" s="206"/>
      <c r="AR120" s="206"/>
      <c r="AS120" s="206"/>
      <c r="AT120" s="206"/>
      <c r="AU120" s="206"/>
      <c r="AV120" s="206"/>
      <c r="AW120" s="86"/>
      <c r="AX120" s="86"/>
      <c r="AY120" s="86"/>
      <c r="AZ120" s="86"/>
      <c r="BA120" s="86"/>
      <c r="BB120" s="86"/>
      <c r="BC120" s="86"/>
      <c r="BD120" s="86"/>
      <c r="BE120" s="86"/>
      <c r="BF120" s="86"/>
      <c r="BG120" s="86"/>
    </row>
    <row r="121" spans="34:59" ht="24.75" customHeight="1">
      <c r="AH121" s="206"/>
      <c r="AI121" s="206"/>
      <c r="AJ121" s="206"/>
      <c r="AK121" s="206"/>
      <c r="AL121" s="206"/>
      <c r="AM121" s="206"/>
      <c r="AN121" s="206"/>
      <c r="AO121" s="206"/>
      <c r="AP121" s="206"/>
      <c r="AQ121" s="206"/>
      <c r="AR121" s="206"/>
      <c r="AS121" s="206"/>
      <c r="AT121" s="206"/>
      <c r="AU121" s="206"/>
      <c r="AV121" s="206"/>
      <c r="AW121" s="86"/>
      <c r="AX121" s="86"/>
      <c r="AY121" s="86"/>
      <c r="AZ121" s="86"/>
      <c r="BA121" s="86"/>
      <c r="BB121" s="86"/>
      <c r="BC121" s="86"/>
      <c r="BD121" s="86"/>
      <c r="BE121" s="86"/>
      <c r="BF121" s="86"/>
      <c r="BG121" s="86"/>
    </row>
    <row r="122" spans="34:59" ht="24.75" customHeight="1">
      <c r="AH122" s="206"/>
      <c r="AI122" s="206"/>
      <c r="AJ122" s="206"/>
      <c r="AK122" s="206"/>
      <c r="AL122" s="206"/>
      <c r="AM122" s="206"/>
      <c r="AN122" s="206"/>
      <c r="AO122" s="206"/>
      <c r="AP122" s="206"/>
      <c r="AQ122" s="206"/>
      <c r="AR122" s="206"/>
      <c r="AS122" s="206"/>
      <c r="AT122" s="206"/>
      <c r="AU122" s="206"/>
      <c r="AV122" s="206"/>
      <c r="AW122" s="86"/>
      <c r="AX122" s="86"/>
      <c r="AY122" s="86"/>
      <c r="AZ122" s="86"/>
      <c r="BA122" s="86"/>
      <c r="BB122" s="86"/>
      <c r="BC122" s="86"/>
      <c r="BD122" s="86"/>
      <c r="BE122" s="86"/>
      <c r="BF122" s="86"/>
      <c r="BG122" s="86"/>
    </row>
    <row r="123" spans="34:59" ht="24.75" customHeight="1">
      <c r="AH123" s="206"/>
      <c r="AI123" s="206"/>
      <c r="AJ123" s="206"/>
      <c r="AK123" s="206"/>
      <c r="AL123" s="206"/>
      <c r="AM123" s="206"/>
      <c r="AN123" s="206"/>
      <c r="AO123" s="206"/>
      <c r="AP123" s="206"/>
      <c r="AQ123" s="206"/>
      <c r="AR123" s="206"/>
      <c r="AS123" s="206"/>
      <c r="AT123" s="206"/>
      <c r="AU123" s="206"/>
      <c r="AV123" s="206"/>
      <c r="AW123" s="86"/>
      <c r="AX123" s="86"/>
      <c r="AY123" s="86"/>
      <c r="AZ123" s="86"/>
      <c r="BA123" s="86"/>
      <c r="BB123" s="86"/>
      <c r="BC123" s="86"/>
      <c r="BD123" s="86"/>
      <c r="BE123" s="86"/>
      <c r="BF123" s="86"/>
      <c r="BG123" s="86"/>
    </row>
    <row r="124" spans="34:59" ht="24.75" customHeight="1">
      <c r="AH124" s="206"/>
      <c r="AI124" s="206"/>
      <c r="AJ124" s="206"/>
      <c r="AK124" s="206"/>
      <c r="AL124" s="206"/>
      <c r="AM124" s="206"/>
      <c r="AN124" s="206"/>
      <c r="AO124" s="206"/>
      <c r="AP124" s="206"/>
      <c r="AQ124" s="206"/>
      <c r="AR124" s="206"/>
      <c r="AS124" s="206"/>
      <c r="AT124" s="206"/>
      <c r="AU124" s="206"/>
      <c r="AV124" s="206"/>
      <c r="AW124" s="86"/>
      <c r="AX124" s="86"/>
      <c r="AY124" s="86"/>
      <c r="AZ124" s="86"/>
      <c r="BA124" s="86"/>
      <c r="BB124" s="86"/>
      <c r="BC124" s="86"/>
      <c r="BD124" s="86"/>
      <c r="BE124" s="86"/>
      <c r="BF124" s="86"/>
      <c r="BG124" s="86"/>
    </row>
    <row r="125" spans="34:59" ht="24.75" customHeight="1">
      <c r="AH125" s="206"/>
      <c r="AI125" s="206"/>
      <c r="AJ125" s="206"/>
      <c r="AK125" s="206"/>
      <c r="AL125" s="206"/>
      <c r="AM125" s="206"/>
      <c r="AN125" s="206"/>
      <c r="AO125" s="206"/>
      <c r="AP125" s="206"/>
      <c r="AQ125" s="206"/>
      <c r="AR125" s="206"/>
      <c r="AS125" s="206"/>
      <c r="AT125" s="206"/>
      <c r="AU125" s="206"/>
      <c r="AV125" s="206"/>
      <c r="AW125" s="86"/>
      <c r="AX125" s="86"/>
      <c r="AY125" s="86"/>
      <c r="AZ125" s="86"/>
      <c r="BA125" s="86"/>
      <c r="BB125" s="86"/>
      <c r="BC125" s="86"/>
      <c r="BD125" s="86"/>
      <c r="BE125" s="86"/>
      <c r="BF125" s="86"/>
      <c r="BG125" s="86"/>
    </row>
    <row r="126" spans="34:59" ht="24.75" customHeight="1">
      <c r="AH126" s="206"/>
      <c r="AI126" s="206"/>
      <c r="AJ126" s="206"/>
      <c r="AK126" s="206"/>
      <c r="AL126" s="206"/>
      <c r="AM126" s="206"/>
      <c r="AN126" s="206"/>
      <c r="AO126" s="206"/>
      <c r="AP126" s="206"/>
      <c r="AQ126" s="206"/>
      <c r="AR126" s="206"/>
      <c r="AS126" s="206"/>
      <c r="AT126" s="206"/>
      <c r="AU126" s="206"/>
      <c r="AV126" s="206"/>
      <c r="AW126" s="86"/>
      <c r="AX126" s="86"/>
      <c r="AY126" s="86"/>
      <c r="AZ126" s="86"/>
      <c r="BA126" s="86"/>
      <c r="BB126" s="86"/>
      <c r="BC126" s="86"/>
      <c r="BD126" s="86"/>
      <c r="BE126" s="86"/>
      <c r="BF126" s="86"/>
      <c r="BG126" s="86"/>
    </row>
    <row r="127" spans="34:59" ht="24.75" customHeight="1">
      <c r="AH127" s="206"/>
      <c r="AI127" s="206"/>
      <c r="AJ127" s="206"/>
      <c r="AK127" s="206"/>
      <c r="AL127" s="206"/>
      <c r="AM127" s="206"/>
      <c r="AN127" s="206"/>
      <c r="AO127" s="206"/>
      <c r="AP127" s="206"/>
      <c r="AQ127" s="206"/>
      <c r="AR127" s="206"/>
      <c r="AS127" s="206"/>
      <c r="AT127" s="206"/>
      <c r="AU127" s="206"/>
      <c r="AV127" s="206"/>
      <c r="AW127" s="86"/>
      <c r="AX127" s="86"/>
      <c r="AY127" s="86"/>
      <c r="AZ127" s="86"/>
      <c r="BA127" s="86"/>
      <c r="BB127" s="86"/>
      <c r="BC127" s="86"/>
      <c r="BD127" s="86"/>
      <c r="BE127" s="86"/>
      <c r="BF127" s="86"/>
      <c r="BG127" s="86"/>
    </row>
    <row r="128" spans="34:59" ht="24.75" customHeight="1">
      <c r="AH128" s="206"/>
      <c r="AI128" s="206"/>
      <c r="AJ128" s="206"/>
      <c r="AK128" s="206"/>
      <c r="AL128" s="206"/>
      <c r="AM128" s="206"/>
      <c r="AN128" s="206"/>
      <c r="AO128" s="206"/>
      <c r="AP128" s="206"/>
      <c r="AQ128" s="206"/>
      <c r="AR128" s="206"/>
      <c r="AS128" s="206"/>
      <c r="AT128" s="206"/>
      <c r="AU128" s="206"/>
      <c r="AV128" s="206"/>
      <c r="AW128" s="86"/>
      <c r="AX128" s="86"/>
      <c r="AY128" s="86"/>
      <c r="AZ128" s="86"/>
      <c r="BA128" s="86"/>
      <c r="BB128" s="86"/>
      <c r="BC128" s="86"/>
      <c r="BD128" s="86"/>
      <c r="BE128" s="86"/>
      <c r="BF128" s="86"/>
      <c r="BG128" s="86"/>
    </row>
    <row r="129" spans="34:59" ht="24.75" customHeight="1">
      <c r="AH129" s="206"/>
      <c r="AI129" s="206"/>
      <c r="AJ129" s="206"/>
      <c r="AK129" s="206"/>
      <c r="AL129" s="206"/>
      <c r="AM129" s="206"/>
      <c r="AN129" s="206"/>
      <c r="AO129" s="206"/>
      <c r="AP129" s="206"/>
      <c r="AQ129" s="206"/>
      <c r="AR129" s="206"/>
      <c r="AS129" s="206"/>
      <c r="AT129" s="206"/>
      <c r="AU129" s="206"/>
      <c r="AV129" s="206"/>
      <c r="AW129" s="86"/>
      <c r="AX129" s="86"/>
      <c r="AY129" s="86"/>
      <c r="AZ129" s="86"/>
      <c r="BA129" s="86"/>
      <c r="BB129" s="86"/>
      <c r="BC129" s="86"/>
      <c r="BD129" s="86"/>
      <c r="BE129" s="86"/>
      <c r="BF129" s="86"/>
      <c r="BG129" s="86"/>
    </row>
    <row r="130" spans="34:59" ht="24.75" customHeight="1">
      <c r="AH130" s="206"/>
      <c r="AI130" s="206"/>
      <c r="AJ130" s="206"/>
      <c r="AK130" s="206"/>
      <c r="AL130" s="206"/>
      <c r="AM130" s="206"/>
      <c r="AN130" s="206"/>
      <c r="AO130" s="206"/>
      <c r="AP130" s="206"/>
      <c r="AQ130" s="206"/>
      <c r="AR130" s="206"/>
      <c r="AS130" s="206"/>
      <c r="AT130" s="206"/>
      <c r="AU130" s="206"/>
      <c r="AV130" s="206"/>
      <c r="AW130" s="86"/>
      <c r="AX130" s="86"/>
      <c r="AY130" s="86"/>
      <c r="AZ130" s="86"/>
      <c r="BA130" s="86"/>
      <c r="BB130" s="86"/>
      <c r="BC130" s="86"/>
      <c r="BD130" s="86"/>
      <c r="BE130" s="86"/>
      <c r="BF130" s="86"/>
      <c r="BG130" s="86"/>
    </row>
    <row r="131" spans="34:59" ht="24.75" customHeight="1">
      <c r="AH131" s="206"/>
      <c r="AI131" s="206"/>
      <c r="AJ131" s="206"/>
      <c r="AK131" s="206"/>
      <c r="AL131" s="206"/>
      <c r="AM131" s="206"/>
      <c r="AN131" s="206"/>
      <c r="AO131" s="206"/>
      <c r="AP131" s="206"/>
      <c r="AQ131" s="206"/>
      <c r="AR131" s="206"/>
      <c r="AS131" s="206"/>
      <c r="AT131" s="206"/>
      <c r="AU131" s="206"/>
      <c r="AV131" s="206"/>
      <c r="AW131" s="86"/>
      <c r="AX131" s="86"/>
      <c r="AY131" s="86"/>
      <c r="AZ131" s="86"/>
      <c r="BA131" s="86"/>
      <c r="BB131" s="86"/>
      <c r="BC131" s="86"/>
      <c r="BD131" s="86"/>
      <c r="BE131" s="86"/>
      <c r="BF131" s="86"/>
      <c r="BG131" s="86"/>
    </row>
    <row r="132" spans="34:59" ht="24.75" customHeight="1">
      <c r="AH132" s="206"/>
      <c r="AI132" s="206"/>
      <c r="AJ132" s="206"/>
      <c r="AK132" s="206"/>
      <c r="AL132" s="206"/>
      <c r="AM132" s="206"/>
      <c r="AN132" s="206"/>
      <c r="AO132" s="206"/>
      <c r="AP132" s="206"/>
      <c r="AQ132" s="206"/>
      <c r="AR132" s="206"/>
      <c r="AS132" s="206"/>
      <c r="AT132" s="206"/>
      <c r="AU132" s="206"/>
      <c r="AV132" s="206"/>
      <c r="AW132" s="86"/>
      <c r="AX132" s="86"/>
      <c r="AY132" s="86"/>
      <c r="AZ132" s="86"/>
      <c r="BA132" s="86"/>
      <c r="BB132" s="86"/>
      <c r="BC132" s="86"/>
      <c r="BD132" s="86"/>
      <c r="BE132" s="86"/>
      <c r="BF132" s="86"/>
      <c r="BG132" s="86"/>
    </row>
    <row r="133" spans="34:59" ht="24.75" customHeight="1">
      <c r="AH133" s="206"/>
      <c r="AI133" s="206"/>
      <c r="AJ133" s="206"/>
      <c r="AK133" s="206"/>
      <c r="AL133" s="206"/>
      <c r="AM133" s="206"/>
      <c r="AN133" s="206"/>
      <c r="AO133" s="206"/>
      <c r="AP133" s="206"/>
      <c r="AQ133" s="206"/>
      <c r="AR133" s="206"/>
      <c r="AS133" s="206"/>
      <c r="AT133" s="206"/>
      <c r="AU133" s="206"/>
      <c r="AV133" s="206"/>
      <c r="AW133" s="86"/>
      <c r="AX133" s="86"/>
      <c r="AY133" s="86"/>
      <c r="AZ133" s="86"/>
      <c r="BA133" s="86"/>
      <c r="BB133" s="86"/>
      <c r="BC133" s="86"/>
      <c r="BD133" s="86"/>
      <c r="BE133" s="86"/>
      <c r="BF133" s="86"/>
      <c r="BG133" s="86"/>
    </row>
    <row r="134" spans="34:59" ht="24.75" customHeight="1">
      <c r="AH134" s="206"/>
      <c r="AI134" s="206"/>
      <c r="AJ134" s="206"/>
      <c r="AK134" s="206"/>
      <c r="AL134" s="206"/>
      <c r="AM134" s="206"/>
      <c r="AN134" s="206"/>
      <c r="AO134" s="206"/>
      <c r="AP134" s="206"/>
      <c r="AQ134" s="206"/>
      <c r="AR134" s="206"/>
      <c r="AS134" s="206"/>
      <c r="AT134" s="206"/>
      <c r="AU134" s="206"/>
      <c r="AV134" s="206"/>
      <c r="AW134" s="86"/>
      <c r="AX134" s="86"/>
      <c r="AY134" s="86"/>
      <c r="AZ134" s="86"/>
      <c r="BA134" s="86"/>
      <c r="BB134" s="86"/>
      <c r="BC134" s="86"/>
      <c r="BD134" s="86"/>
      <c r="BE134" s="86"/>
      <c r="BF134" s="86"/>
      <c r="BG134" s="86"/>
    </row>
    <row r="135" spans="34:59" ht="24.75" customHeight="1">
      <c r="AH135" s="206"/>
      <c r="AI135" s="206"/>
      <c r="AJ135" s="206"/>
      <c r="AK135" s="206"/>
      <c r="AL135" s="206"/>
      <c r="AM135" s="206"/>
      <c r="AN135" s="206"/>
      <c r="AO135" s="206"/>
      <c r="AP135" s="206"/>
      <c r="AQ135" s="206"/>
      <c r="AR135" s="206"/>
      <c r="AS135" s="206"/>
      <c r="AT135" s="206"/>
      <c r="AU135" s="206"/>
      <c r="AV135" s="206"/>
      <c r="AW135" s="86"/>
      <c r="AX135" s="86"/>
      <c r="AY135" s="86"/>
      <c r="AZ135" s="86"/>
      <c r="BA135" s="86"/>
      <c r="BB135" s="86"/>
      <c r="BC135" s="86"/>
      <c r="BD135" s="86"/>
      <c r="BE135" s="86"/>
      <c r="BF135" s="86"/>
      <c r="BG135" s="86"/>
    </row>
    <row r="136" spans="34:59" ht="24.75" customHeight="1">
      <c r="AH136" s="206"/>
      <c r="AI136" s="206"/>
      <c r="AJ136" s="206"/>
      <c r="AK136" s="206"/>
      <c r="AL136" s="206"/>
      <c r="AM136" s="206"/>
      <c r="AN136" s="206"/>
      <c r="AO136" s="206"/>
      <c r="AP136" s="206"/>
      <c r="AQ136" s="206"/>
      <c r="AR136" s="206"/>
      <c r="AS136" s="206"/>
      <c r="AT136" s="206"/>
      <c r="AU136" s="206"/>
      <c r="AV136" s="206"/>
      <c r="AW136" s="86"/>
      <c r="AX136" s="86"/>
      <c r="AY136" s="86"/>
      <c r="AZ136" s="86"/>
      <c r="BA136" s="86"/>
      <c r="BB136" s="86"/>
      <c r="BC136" s="86"/>
      <c r="BD136" s="86"/>
      <c r="BE136" s="86"/>
      <c r="BF136" s="86"/>
      <c r="BG136" s="86"/>
    </row>
    <row r="137" spans="34:59" ht="24.75" customHeight="1">
      <c r="AH137" s="206"/>
      <c r="AI137" s="206"/>
      <c r="AJ137" s="206"/>
      <c r="AK137" s="206"/>
      <c r="AL137" s="206"/>
      <c r="AM137" s="206"/>
      <c r="AN137" s="206"/>
      <c r="AO137" s="206"/>
      <c r="AP137" s="206"/>
      <c r="AQ137" s="206"/>
      <c r="AR137" s="206"/>
      <c r="AS137" s="206"/>
      <c r="AT137" s="206"/>
      <c r="AU137" s="206"/>
      <c r="AV137" s="206"/>
      <c r="AW137" s="86"/>
      <c r="AX137" s="86"/>
      <c r="AY137" s="86"/>
      <c r="AZ137" s="86"/>
      <c r="BA137" s="86"/>
      <c r="BB137" s="86"/>
      <c r="BC137" s="86"/>
      <c r="BD137" s="86"/>
      <c r="BE137" s="86"/>
      <c r="BF137" s="86"/>
      <c r="BG137" s="86"/>
    </row>
    <row r="138" spans="34:59" ht="24.75" customHeight="1">
      <c r="AH138" s="206"/>
      <c r="AI138" s="206"/>
      <c r="AJ138" s="206"/>
      <c r="AK138" s="206"/>
      <c r="AL138" s="206"/>
      <c r="AM138" s="206"/>
      <c r="AN138" s="206"/>
      <c r="AO138" s="206"/>
      <c r="AP138" s="206"/>
      <c r="AQ138" s="206"/>
      <c r="AR138" s="206"/>
      <c r="AS138" s="206"/>
      <c r="AT138" s="206"/>
      <c r="AU138" s="206"/>
      <c r="AV138" s="206"/>
      <c r="AW138" s="86"/>
      <c r="AX138" s="86"/>
      <c r="AY138" s="86"/>
      <c r="AZ138" s="86"/>
      <c r="BA138" s="86"/>
      <c r="BB138" s="86"/>
      <c r="BC138" s="86"/>
      <c r="BD138" s="86"/>
      <c r="BE138" s="86"/>
      <c r="BF138" s="86"/>
      <c r="BG138" s="86"/>
    </row>
    <row r="139" spans="34:59" ht="24.75" customHeight="1">
      <c r="AH139" s="206"/>
      <c r="AI139" s="206"/>
      <c r="AJ139" s="206"/>
      <c r="AK139" s="206"/>
      <c r="AL139" s="206"/>
      <c r="AM139" s="206"/>
      <c r="AN139" s="206"/>
      <c r="AO139" s="206"/>
      <c r="AP139" s="206"/>
      <c r="AQ139" s="206"/>
      <c r="AR139" s="206"/>
      <c r="AS139" s="206"/>
      <c r="AT139" s="206"/>
      <c r="AU139" s="206"/>
      <c r="AV139" s="206"/>
      <c r="AW139" s="86"/>
      <c r="AX139" s="86"/>
      <c r="AY139" s="86"/>
      <c r="AZ139" s="86"/>
      <c r="BA139" s="86"/>
      <c r="BB139" s="86"/>
      <c r="BC139" s="86"/>
      <c r="BD139" s="86"/>
      <c r="BE139" s="86"/>
      <c r="BF139" s="86"/>
      <c r="BG139" s="86"/>
    </row>
    <row r="140" spans="34:59" ht="24.75" customHeight="1">
      <c r="AH140" s="206"/>
      <c r="AI140" s="206"/>
      <c r="AJ140" s="206"/>
      <c r="AK140" s="206"/>
      <c r="AL140" s="206"/>
      <c r="AM140" s="206"/>
      <c r="AN140" s="206"/>
      <c r="AO140" s="206"/>
      <c r="AP140" s="206"/>
      <c r="AQ140" s="206"/>
      <c r="AR140" s="206"/>
      <c r="AS140" s="206"/>
      <c r="AT140" s="206"/>
      <c r="AU140" s="206"/>
      <c r="AV140" s="206"/>
      <c r="AW140" s="86"/>
      <c r="AX140" s="86"/>
      <c r="AY140" s="86"/>
      <c r="AZ140" s="86"/>
      <c r="BA140" s="86"/>
      <c r="BB140" s="86"/>
      <c r="BC140" s="86"/>
      <c r="BD140" s="86"/>
      <c r="BE140" s="86"/>
      <c r="BF140" s="86"/>
      <c r="BG140" s="86"/>
    </row>
    <row r="141" spans="34:59" ht="24.75" customHeight="1">
      <c r="AH141" s="206"/>
      <c r="AI141" s="206"/>
      <c r="AJ141" s="206"/>
      <c r="AK141" s="206"/>
      <c r="AL141" s="206"/>
      <c r="AM141" s="206"/>
      <c r="AN141" s="206"/>
      <c r="AO141" s="206"/>
      <c r="AP141" s="206"/>
      <c r="AQ141" s="206"/>
      <c r="AR141" s="206"/>
      <c r="AS141" s="206"/>
      <c r="AT141" s="206"/>
      <c r="AU141" s="206"/>
      <c r="AV141" s="206"/>
      <c r="AW141" s="86"/>
      <c r="AX141" s="86"/>
      <c r="AY141" s="86"/>
      <c r="AZ141" s="86"/>
      <c r="BA141" s="86"/>
      <c r="BB141" s="86"/>
      <c r="BC141" s="86"/>
      <c r="BD141" s="86"/>
      <c r="BE141" s="86"/>
      <c r="BF141" s="86"/>
      <c r="BG141" s="86"/>
    </row>
    <row r="142" spans="34:59" ht="24.75" customHeight="1">
      <c r="AH142" s="206"/>
      <c r="AI142" s="206"/>
      <c r="AJ142" s="206"/>
      <c r="AK142" s="206"/>
      <c r="AL142" s="206"/>
      <c r="AM142" s="206"/>
      <c r="AN142" s="206"/>
      <c r="AO142" s="206"/>
      <c r="AP142" s="206"/>
      <c r="AQ142" s="206"/>
      <c r="AR142" s="206"/>
      <c r="AS142" s="206"/>
      <c r="AT142" s="206"/>
      <c r="AU142" s="206"/>
      <c r="AV142" s="206"/>
      <c r="AW142" s="86"/>
      <c r="AX142" s="86"/>
      <c r="AY142" s="86"/>
      <c r="AZ142" s="86"/>
      <c r="BA142" s="86"/>
      <c r="BB142" s="86"/>
      <c r="BC142" s="86"/>
      <c r="BD142" s="86"/>
      <c r="BE142" s="86"/>
      <c r="BF142" s="86"/>
      <c r="BG142" s="86"/>
    </row>
    <row r="143" spans="34:59" ht="24.75" customHeight="1">
      <c r="AH143" s="206"/>
      <c r="AI143" s="206"/>
      <c r="AJ143" s="206"/>
      <c r="AK143" s="206"/>
      <c r="AL143" s="206"/>
      <c r="AM143" s="206"/>
      <c r="AN143" s="206"/>
      <c r="AO143" s="206"/>
      <c r="AP143" s="206"/>
      <c r="AQ143" s="206"/>
      <c r="AR143" s="206"/>
      <c r="AS143" s="206"/>
      <c r="AT143" s="206"/>
      <c r="AU143" s="206"/>
      <c r="AV143" s="206"/>
      <c r="AW143" s="86"/>
      <c r="AX143" s="86"/>
      <c r="AY143" s="86"/>
      <c r="AZ143" s="86"/>
      <c r="BA143" s="86"/>
      <c r="BB143" s="86"/>
      <c r="BC143" s="86"/>
      <c r="BD143" s="86"/>
      <c r="BE143" s="86"/>
      <c r="BF143" s="86"/>
      <c r="BG143" s="86"/>
    </row>
    <row r="144" spans="34:59" ht="24.75" customHeight="1">
      <c r="AH144" s="206"/>
      <c r="AI144" s="206"/>
      <c r="AJ144" s="206"/>
      <c r="AK144" s="206"/>
      <c r="AL144" s="206"/>
      <c r="AM144" s="206"/>
      <c r="AN144" s="206"/>
      <c r="AO144" s="206"/>
      <c r="AP144" s="206"/>
      <c r="AQ144" s="206"/>
      <c r="AR144" s="206"/>
      <c r="AS144" s="206"/>
      <c r="AT144" s="206"/>
      <c r="AU144" s="206"/>
      <c r="AV144" s="206"/>
      <c r="AW144" s="86"/>
      <c r="AX144" s="86"/>
      <c r="AY144" s="86"/>
      <c r="AZ144" s="86"/>
      <c r="BA144" s="86"/>
      <c r="BB144" s="86"/>
      <c r="BC144" s="86"/>
      <c r="BD144" s="86"/>
      <c r="BE144" s="86"/>
      <c r="BF144" s="86"/>
      <c r="BG144" s="86"/>
    </row>
    <row r="145" spans="34:59" ht="24.75" customHeight="1">
      <c r="AH145" s="206"/>
      <c r="AI145" s="206"/>
      <c r="AJ145" s="206"/>
      <c r="AK145" s="206"/>
      <c r="AL145" s="206"/>
      <c r="AM145" s="206"/>
      <c r="AN145" s="206"/>
      <c r="AO145" s="206"/>
      <c r="AP145" s="206"/>
      <c r="AQ145" s="206"/>
      <c r="AR145" s="206"/>
      <c r="AS145" s="206"/>
      <c r="AT145" s="206"/>
      <c r="AU145" s="206"/>
      <c r="AV145" s="206"/>
      <c r="AW145" s="86"/>
      <c r="AX145" s="86"/>
      <c r="AY145" s="86"/>
      <c r="AZ145" s="86"/>
      <c r="BA145" s="86"/>
      <c r="BB145" s="86"/>
      <c r="BC145" s="86"/>
      <c r="BD145" s="86"/>
      <c r="BE145" s="86"/>
      <c r="BF145" s="86"/>
      <c r="BG145" s="86"/>
    </row>
    <row r="146" spans="34:59" ht="24.75" customHeight="1">
      <c r="AH146" s="206"/>
      <c r="AI146" s="206"/>
      <c r="AJ146" s="206"/>
      <c r="AK146" s="206"/>
      <c r="AL146" s="206"/>
      <c r="AM146" s="206"/>
      <c r="AN146" s="206"/>
      <c r="AO146" s="206"/>
      <c r="AP146" s="206"/>
      <c r="AQ146" s="206"/>
      <c r="AR146" s="206"/>
      <c r="AS146" s="206"/>
      <c r="AT146" s="206"/>
      <c r="AU146" s="206"/>
      <c r="AV146" s="206"/>
      <c r="AW146" s="86"/>
      <c r="AX146" s="86"/>
      <c r="AY146" s="86"/>
      <c r="AZ146" s="86"/>
      <c r="BA146" s="86"/>
      <c r="BB146" s="86"/>
      <c r="BC146" s="86"/>
      <c r="BD146" s="86"/>
      <c r="BE146" s="86"/>
      <c r="BF146" s="86"/>
      <c r="BG146" s="86"/>
    </row>
    <row r="147" spans="34:59" ht="24.75" customHeight="1">
      <c r="AH147" s="206"/>
      <c r="AI147" s="206"/>
      <c r="AJ147" s="206"/>
      <c r="AK147" s="206"/>
      <c r="AL147" s="206"/>
      <c r="AM147" s="206"/>
      <c r="AN147" s="206"/>
      <c r="AO147" s="206"/>
      <c r="AP147" s="206"/>
      <c r="AQ147" s="206"/>
      <c r="AR147" s="206"/>
      <c r="AS147" s="206"/>
      <c r="AT147" s="206"/>
      <c r="AU147" s="206"/>
      <c r="AV147" s="206"/>
      <c r="AW147" s="86"/>
      <c r="AX147" s="86"/>
      <c r="AY147" s="86"/>
      <c r="AZ147" s="86"/>
      <c r="BA147" s="86"/>
      <c r="BB147" s="86"/>
      <c r="BC147" s="86"/>
      <c r="BD147" s="86"/>
      <c r="BE147" s="86"/>
      <c r="BF147" s="86"/>
      <c r="BG147" s="86"/>
    </row>
    <row r="148" spans="34:59" ht="24.75" customHeight="1">
      <c r="AH148" s="206"/>
      <c r="AI148" s="206"/>
      <c r="AJ148" s="206"/>
      <c r="AK148" s="206"/>
      <c r="AL148" s="206"/>
      <c r="AM148" s="206"/>
      <c r="AN148" s="206"/>
      <c r="AO148" s="206"/>
      <c r="AP148" s="206"/>
      <c r="AQ148" s="206"/>
      <c r="AR148" s="206"/>
      <c r="AS148" s="206"/>
      <c r="AT148" s="206"/>
      <c r="AU148" s="206"/>
      <c r="AV148" s="206"/>
      <c r="AW148" s="86"/>
      <c r="AX148" s="86"/>
      <c r="AY148" s="86"/>
      <c r="AZ148" s="86"/>
      <c r="BA148" s="86"/>
      <c r="BB148" s="86"/>
      <c r="BC148" s="86"/>
      <c r="BD148" s="86"/>
      <c r="BE148" s="86"/>
      <c r="BF148" s="86"/>
      <c r="BG148" s="86"/>
    </row>
    <row r="149" spans="34:59" ht="24.75" customHeight="1">
      <c r="AH149" s="206"/>
      <c r="AI149" s="206"/>
      <c r="AJ149" s="206"/>
      <c r="AK149" s="206"/>
      <c r="AL149" s="206"/>
      <c r="AM149" s="206"/>
      <c r="AN149" s="206"/>
      <c r="AO149" s="206"/>
      <c r="AP149" s="206"/>
      <c r="AQ149" s="206"/>
      <c r="AR149" s="206"/>
      <c r="AS149" s="206"/>
      <c r="AT149" s="206"/>
      <c r="AU149" s="206"/>
      <c r="AV149" s="206"/>
      <c r="AW149" s="86"/>
      <c r="AX149" s="86"/>
      <c r="AY149" s="86"/>
      <c r="AZ149" s="86"/>
      <c r="BA149" s="86"/>
      <c r="BB149" s="86"/>
      <c r="BC149" s="86"/>
      <c r="BD149" s="86"/>
      <c r="BE149" s="86"/>
      <c r="BF149" s="86"/>
      <c r="BG149" s="86"/>
    </row>
    <row r="150" spans="34:59" ht="24.75" customHeight="1">
      <c r="AH150" s="206"/>
      <c r="AI150" s="206"/>
      <c r="AJ150" s="206"/>
      <c r="AK150" s="206"/>
      <c r="AL150" s="206"/>
      <c r="AM150" s="206"/>
      <c r="AN150" s="206"/>
      <c r="AO150" s="206"/>
      <c r="AP150" s="206"/>
      <c r="AQ150" s="206"/>
      <c r="AR150" s="206"/>
      <c r="AS150" s="206"/>
      <c r="AT150" s="206"/>
      <c r="AU150" s="206"/>
      <c r="AV150" s="206"/>
      <c r="AW150" s="86"/>
      <c r="AX150" s="86"/>
      <c r="AY150" s="86"/>
      <c r="AZ150" s="86"/>
      <c r="BA150" s="86"/>
      <c r="BB150" s="86"/>
      <c r="BC150" s="86"/>
      <c r="BD150" s="86"/>
      <c r="BE150" s="86"/>
      <c r="BF150" s="86"/>
      <c r="BG150" s="86"/>
    </row>
    <row r="151" spans="34:59" ht="24.75" customHeight="1">
      <c r="AH151" s="206"/>
      <c r="AI151" s="206"/>
      <c r="AJ151" s="206"/>
      <c r="AK151" s="206"/>
      <c r="AL151" s="206"/>
      <c r="AM151" s="206"/>
      <c r="AN151" s="206"/>
      <c r="AO151" s="206"/>
      <c r="AP151" s="206"/>
      <c r="AQ151" s="206"/>
      <c r="AR151" s="206"/>
      <c r="AS151" s="206"/>
      <c r="AT151" s="206"/>
      <c r="AU151" s="206"/>
      <c r="AV151" s="206"/>
      <c r="AW151" s="86"/>
      <c r="AX151" s="86"/>
      <c r="AY151" s="86"/>
      <c r="AZ151" s="86"/>
      <c r="BA151" s="86"/>
      <c r="BB151" s="86"/>
      <c r="BC151" s="86"/>
      <c r="BD151" s="86"/>
      <c r="BE151" s="86"/>
      <c r="BF151" s="86"/>
      <c r="BG151" s="86"/>
    </row>
    <row r="152" spans="34:59" ht="24.75" customHeight="1">
      <c r="AH152" s="206"/>
      <c r="AI152" s="206"/>
      <c r="AJ152" s="206"/>
      <c r="AK152" s="206"/>
      <c r="AL152" s="206"/>
      <c r="AM152" s="206"/>
      <c r="AN152" s="206"/>
      <c r="AO152" s="206"/>
      <c r="AP152" s="206"/>
      <c r="AQ152" s="206"/>
      <c r="AR152" s="206"/>
      <c r="AS152" s="206"/>
      <c r="AT152" s="206"/>
      <c r="AU152" s="206"/>
      <c r="AV152" s="206"/>
      <c r="AW152" s="86"/>
      <c r="AX152" s="86"/>
      <c r="AY152" s="86"/>
      <c r="AZ152" s="86"/>
      <c r="BA152" s="86"/>
      <c r="BB152" s="86"/>
      <c r="BC152" s="86"/>
      <c r="BD152" s="86"/>
      <c r="BE152" s="86"/>
      <c r="BF152" s="86"/>
      <c r="BG152" s="86"/>
    </row>
    <row r="153" spans="34:59" ht="24.75" customHeight="1">
      <c r="AH153" s="206"/>
      <c r="AI153" s="206"/>
      <c r="AJ153" s="206"/>
      <c r="AK153" s="206"/>
      <c r="AL153" s="206"/>
      <c r="AM153" s="206"/>
      <c r="AN153" s="206"/>
      <c r="AO153" s="206"/>
      <c r="AP153" s="206"/>
      <c r="AQ153" s="206"/>
      <c r="AR153" s="206"/>
      <c r="AS153" s="206"/>
      <c r="AT153" s="206"/>
      <c r="AU153" s="206"/>
      <c r="AV153" s="206"/>
      <c r="AW153" s="86"/>
      <c r="AX153" s="86"/>
      <c r="AY153" s="86"/>
      <c r="AZ153" s="86"/>
      <c r="BA153" s="86"/>
      <c r="BB153" s="86"/>
      <c r="BC153" s="86"/>
      <c r="BD153" s="86"/>
      <c r="BE153" s="86"/>
      <c r="BF153" s="86"/>
      <c r="BG153" s="86"/>
    </row>
    <row r="154" spans="34:59" ht="24.75" customHeight="1">
      <c r="AH154" s="206"/>
      <c r="AI154" s="206"/>
      <c r="AJ154" s="206"/>
      <c r="AK154" s="206"/>
      <c r="AL154" s="206"/>
      <c r="AM154" s="206"/>
      <c r="AN154" s="206"/>
      <c r="AO154" s="206"/>
      <c r="AP154" s="206"/>
      <c r="AQ154" s="206"/>
      <c r="AR154" s="206"/>
      <c r="AS154" s="206"/>
      <c r="AT154" s="206"/>
      <c r="AU154" s="206"/>
      <c r="AV154" s="206"/>
      <c r="AW154" s="86"/>
      <c r="AX154" s="86"/>
      <c r="AY154" s="86"/>
      <c r="AZ154" s="86"/>
      <c r="BA154" s="86"/>
      <c r="BB154" s="86"/>
      <c r="BC154" s="86"/>
      <c r="BD154" s="86"/>
      <c r="BE154" s="86"/>
      <c r="BF154" s="86"/>
      <c r="BG154" s="86"/>
    </row>
    <row r="155" spans="34:59" ht="24.75" customHeight="1">
      <c r="AH155" s="206"/>
      <c r="AI155" s="206"/>
      <c r="AJ155" s="206"/>
      <c r="AK155" s="206"/>
      <c r="AL155" s="206"/>
      <c r="AM155" s="206"/>
      <c r="AN155" s="206"/>
      <c r="AO155" s="206"/>
      <c r="AP155" s="206"/>
      <c r="AQ155" s="206"/>
      <c r="AR155" s="206"/>
      <c r="AS155" s="206"/>
      <c r="AT155" s="206"/>
      <c r="AU155" s="206"/>
      <c r="AV155" s="206"/>
      <c r="AW155" s="86"/>
      <c r="AX155" s="86"/>
      <c r="AY155" s="86"/>
      <c r="AZ155" s="86"/>
      <c r="BA155" s="86"/>
      <c r="BB155" s="86"/>
      <c r="BC155" s="86"/>
      <c r="BD155" s="86"/>
      <c r="BE155" s="86"/>
      <c r="BF155" s="86"/>
      <c r="BG155" s="86"/>
    </row>
    <row r="156" spans="34:59" ht="24.75" customHeight="1">
      <c r="AH156" s="206"/>
      <c r="AI156" s="206"/>
      <c r="AJ156" s="206"/>
      <c r="AK156" s="206"/>
      <c r="AL156" s="206"/>
      <c r="AM156" s="206"/>
      <c r="AN156" s="206"/>
      <c r="AO156" s="206"/>
      <c r="AP156" s="206"/>
      <c r="AQ156" s="206"/>
      <c r="AR156" s="206"/>
      <c r="AS156" s="206"/>
      <c r="AT156" s="206"/>
      <c r="AU156" s="206"/>
      <c r="AV156" s="206"/>
      <c r="AW156" s="86"/>
      <c r="AX156" s="86"/>
      <c r="AY156" s="86"/>
      <c r="AZ156" s="86"/>
      <c r="BA156" s="86"/>
      <c r="BB156" s="86"/>
      <c r="BC156" s="86"/>
      <c r="BD156" s="86"/>
      <c r="BE156" s="86"/>
      <c r="BF156" s="86"/>
      <c r="BG156" s="86"/>
    </row>
    <row r="157" spans="34:59" ht="24.75" customHeight="1">
      <c r="AH157" s="206"/>
      <c r="AI157" s="206"/>
      <c r="AJ157" s="206"/>
      <c r="AK157" s="206"/>
      <c r="AL157" s="206"/>
      <c r="AM157" s="206"/>
      <c r="AN157" s="206"/>
      <c r="AO157" s="206"/>
      <c r="AP157" s="206"/>
      <c r="AQ157" s="206"/>
      <c r="AR157" s="206"/>
      <c r="AS157" s="206"/>
      <c r="AT157" s="206"/>
      <c r="AU157" s="206"/>
      <c r="AV157" s="206"/>
      <c r="AW157" s="86"/>
      <c r="AX157" s="86"/>
      <c r="AY157" s="86"/>
      <c r="AZ157" s="86"/>
      <c r="BA157" s="86"/>
      <c r="BB157" s="86"/>
      <c r="BC157" s="86"/>
      <c r="BD157" s="86"/>
      <c r="BE157" s="86"/>
      <c r="BF157" s="86"/>
      <c r="BG157" s="86"/>
    </row>
    <row r="158" spans="34:59" ht="24.75" customHeight="1">
      <c r="AH158" s="206"/>
      <c r="AI158" s="206"/>
      <c r="AJ158" s="206"/>
      <c r="AK158" s="206"/>
      <c r="AL158" s="206"/>
      <c r="AM158" s="206"/>
      <c r="AN158" s="206"/>
      <c r="AO158" s="206"/>
      <c r="AP158" s="206"/>
      <c r="AQ158" s="206"/>
      <c r="AR158" s="206"/>
      <c r="AS158" s="206"/>
      <c r="AT158" s="206"/>
      <c r="AU158" s="206"/>
      <c r="AV158" s="206"/>
      <c r="AW158" s="86"/>
      <c r="AX158" s="86"/>
      <c r="AY158" s="86"/>
      <c r="AZ158" s="86"/>
      <c r="BA158" s="86"/>
      <c r="BB158" s="86"/>
      <c r="BC158" s="86"/>
      <c r="BD158" s="86"/>
      <c r="BE158" s="86"/>
      <c r="BF158" s="86"/>
      <c r="BG158" s="86"/>
    </row>
    <row r="159" spans="34:59" ht="24.75" customHeight="1">
      <c r="AH159" s="206"/>
      <c r="AI159" s="206"/>
      <c r="AJ159" s="206"/>
      <c r="AK159" s="206"/>
      <c r="AL159" s="206"/>
      <c r="AM159" s="206"/>
      <c r="AN159" s="206"/>
      <c r="AO159" s="206"/>
      <c r="AP159" s="206"/>
      <c r="AQ159" s="206"/>
      <c r="AR159" s="206"/>
      <c r="AS159" s="206"/>
      <c r="AT159" s="206"/>
      <c r="AU159" s="206"/>
      <c r="AV159" s="206"/>
      <c r="AW159" s="86"/>
      <c r="AX159" s="86"/>
      <c r="AY159" s="86"/>
      <c r="AZ159" s="86"/>
      <c r="BA159" s="86"/>
      <c r="BB159" s="86"/>
      <c r="BC159" s="86"/>
      <c r="BD159" s="86"/>
      <c r="BE159" s="86"/>
      <c r="BF159" s="86"/>
      <c r="BG159" s="86"/>
    </row>
    <row r="160" spans="34:59" ht="24.75" customHeight="1">
      <c r="AH160" s="206"/>
      <c r="AI160" s="206"/>
      <c r="AJ160" s="206"/>
      <c r="AK160" s="206"/>
      <c r="AL160" s="206"/>
      <c r="AM160" s="206"/>
      <c r="AN160" s="206"/>
      <c r="AO160" s="206"/>
      <c r="AP160" s="206"/>
      <c r="AQ160" s="206"/>
      <c r="AR160" s="206"/>
      <c r="AS160" s="206"/>
      <c r="AT160" s="206"/>
      <c r="AU160" s="206"/>
      <c r="AV160" s="206"/>
      <c r="AW160" s="86"/>
      <c r="AX160" s="86"/>
      <c r="AY160" s="86"/>
      <c r="AZ160" s="86"/>
      <c r="BA160" s="86"/>
      <c r="BB160" s="86"/>
      <c r="BC160" s="86"/>
      <c r="BD160" s="86"/>
      <c r="BE160" s="86"/>
      <c r="BF160" s="86"/>
      <c r="BG160" s="86"/>
    </row>
    <row r="161" spans="34:59" ht="24.75" customHeight="1">
      <c r="AH161" s="206"/>
      <c r="AI161" s="206"/>
      <c r="AJ161" s="206"/>
      <c r="AK161" s="206"/>
      <c r="AL161" s="206"/>
      <c r="AM161" s="206"/>
      <c r="AN161" s="206"/>
      <c r="AO161" s="206"/>
      <c r="AP161" s="206"/>
      <c r="AQ161" s="206"/>
      <c r="AR161" s="206"/>
      <c r="AS161" s="206"/>
      <c r="AT161" s="206"/>
      <c r="AU161" s="206"/>
      <c r="AV161" s="206"/>
      <c r="AW161" s="86"/>
      <c r="AX161" s="86"/>
      <c r="AY161" s="86"/>
      <c r="AZ161" s="86"/>
      <c r="BA161" s="86"/>
      <c r="BB161" s="86"/>
      <c r="BC161" s="86"/>
      <c r="BD161" s="86"/>
      <c r="BE161" s="86"/>
      <c r="BF161" s="86"/>
      <c r="BG161" s="86"/>
    </row>
    <row r="162" spans="34:59" ht="24.75" customHeight="1">
      <c r="AH162" s="206"/>
      <c r="AI162" s="206"/>
      <c r="AJ162" s="206"/>
      <c r="AK162" s="206"/>
      <c r="AL162" s="206"/>
      <c r="AM162" s="206"/>
      <c r="AN162" s="206"/>
      <c r="AO162" s="206"/>
      <c r="AP162" s="206"/>
      <c r="AQ162" s="206"/>
      <c r="AR162" s="206"/>
      <c r="AS162" s="206"/>
      <c r="AT162" s="206"/>
      <c r="AU162" s="206"/>
      <c r="AV162" s="206"/>
      <c r="AW162" s="86"/>
      <c r="AX162" s="86"/>
      <c r="AY162" s="86"/>
      <c r="AZ162" s="86"/>
      <c r="BA162" s="86"/>
      <c r="BB162" s="86"/>
      <c r="BC162" s="86"/>
      <c r="BD162" s="86"/>
      <c r="BE162" s="86"/>
      <c r="BF162" s="86"/>
      <c r="BG162" s="86"/>
    </row>
    <row r="163" spans="34:59" ht="24.75" customHeight="1">
      <c r="AH163" s="206"/>
      <c r="AI163" s="206"/>
      <c r="AJ163" s="206"/>
      <c r="AK163" s="206"/>
      <c r="AL163" s="206"/>
      <c r="AM163" s="206"/>
      <c r="AN163" s="206"/>
      <c r="AO163" s="206"/>
      <c r="AP163" s="206"/>
      <c r="AQ163" s="206"/>
      <c r="AR163" s="206"/>
      <c r="AS163" s="206"/>
      <c r="AT163" s="206"/>
      <c r="AU163" s="206"/>
      <c r="AV163" s="206"/>
      <c r="AW163" s="86"/>
      <c r="AX163" s="86"/>
      <c r="AY163" s="86"/>
      <c r="AZ163" s="86"/>
      <c r="BA163" s="86"/>
      <c r="BB163" s="86"/>
      <c r="BC163" s="86"/>
      <c r="BD163" s="86"/>
      <c r="BE163" s="86"/>
      <c r="BF163" s="86"/>
      <c r="BG163" s="86"/>
    </row>
    <row r="164" spans="34:59" ht="24.75" customHeight="1">
      <c r="AH164" s="206"/>
      <c r="AI164" s="206"/>
      <c r="AJ164" s="206"/>
      <c r="AK164" s="206"/>
      <c r="AL164" s="206"/>
      <c r="AM164" s="206"/>
      <c r="AN164" s="206"/>
      <c r="AO164" s="206"/>
      <c r="AP164" s="206"/>
      <c r="AQ164" s="206"/>
      <c r="AR164" s="206"/>
      <c r="AS164" s="206"/>
      <c r="AT164" s="206"/>
      <c r="AU164" s="206"/>
      <c r="AV164" s="206"/>
      <c r="AW164" s="86"/>
      <c r="AX164" s="86"/>
      <c r="AY164" s="86"/>
      <c r="AZ164" s="86"/>
      <c r="BA164" s="86"/>
      <c r="BB164" s="86"/>
      <c r="BC164" s="86"/>
      <c r="BD164" s="86"/>
      <c r="BE164" s="86"/>
      <c r="BF164" s="86"/>
      <c r="BG164" s="86"/>
    </row>
    <row r="165" spans="34:59" ht="24.75" customHeight="1">
      <c r="AH165" s="206"/>
      <c r="AI165" s="206"/>
      <c r="AJ165" s="206"/>
      <c r="AK165" s="206"/>
      <c r="AL165" s="206"/>
      <c r="AM165" s="206"/>
      <c r="AN165" s="206"/>
      <c r="AO165" s="206"/>
      <c r="AP165" s="206"/>
      <c r="AQ165" s="206"/>
      <c r="AR165" s="206"/>
      <c r="AS165" s="206"/>
      <c r="AT165" s="206"/>
      <c r="AU165" s="206"/>
      <c r="AV165" s="206"/>
      <c r="AW165" s="86"/>
      <c r="AX165" s="86"/>
      <c r="AY165" s="86"/>
      <c r="AZ165" s="86"/>
      <c r="BA165" s="86"/>
      <c r="BB165" s="86"/>
      <c r="BC165" s="86"/>
      <c r="BD165" s="86"/>
      <c r="BE165" s="86"/>
      <c r="BF165" s="86"/>
      <c r="BG165" s="86"/>
    </row>
    <row r="166" spans="34:59" ht="24.75" customHeight="1">
      <c r="AH166" s="206"/>
      <c r="AI166" s="206"/>
      <c r="AJ166" s="206"/>
      <c r="AK166" s="206"/>
      <c r="AL166" s="206"/>
      <c r="AM166" s="206"/>
      <c r="AN166" s="206"/>
      <c r="AO166" s="206"/>
      <c r="AP166" s="206"/>
      <c r="AQ166" s="206"/>
      <c r="AR166" s="206"/>
      <c r="AS166" s="206"/>
      <c r="AT166" s="206"/>
      <c r="AU166" s="206"/>
      <c r="AV166" s="206"/>
      <c r="AW166" s="86"/>
      <c r="AX166" s="86"/>
      <c r="AY166" s="86"/>
      <c r="AZ166" s="86"/>
      <c r="BA166" s="86"/>
      <c r="BB166" s="86"/>
      <c r="BC166" s="86"/>
      <c r="BD166" s="86"/>
      <c r="BE166" s="86"/>
      <c r="BF166" s="86"/>
      <c r="BG166" s="86"/>
    </row>
    <row r="167" spans="34:59" ht="24.75" customHeight="1">
      <c r="AH167" s="206"/>
      <c r="AI167" s="206"/>
      <c r="AJ167" s="206"/>
      <c r="AK167" s="206"/>
      <c r="AL167" s="206"/>
      <c r="AM167" s="206"/>
      <c r="AN167" s="206"/>
      <c r="AO167" s="206"/>
      <c r="AP167" s="206"/>
      <c r="AQ167" s="206"/>
      <c r="AR167" s="206"/>
      <c r="AS167" s="206"/>
      <c r="AT167" s="206"/>
      <c r="AU167" s="206"/>
      <c r="AV167" s="206"/>
      <c r="AW167" s="86"/>
      <c r="AX167" s="86"/>
      <c r="AY167" s="86"/>
      <c r="AZ167" s="86"/>
      <c r="BA167" s="86"/>
      <c r="BB167" s="86"/>
      <c r="BC167" s="86"/>
      <c r="BD167" s="86"/>
      <c r="BE167" s="86"/>
      <c r="BF167" s="86"/>
      <c r="BG167" s="86"/>
    </row>
    <row r="168" spans="34:59" ht="24.75" customHeight="1">
      <c r="AH168" s="206"/>
      <c r="AI168" s="206"/>
      <c r="AJ168" s="206"/>
      <c r="AK168" s="206"/>
      <c r="AL168" s="206"/>
      <c r="AM168" s="206"/>
      <c r="AN168" s="206"/>
      <c r="AO168" s="206"/>
      <c r="AP168" s="206"/>
      <c r="AQ168" s="206"/>
      <c r="AR168" s="206"/>
      <c r="AS168" s="206"/>
      <c r="AT168" s="206"/>
      <c r="AU168" s="206"/>
      <c r="AV168" s="206"/>
      <c r="AW168" s="86"/>
      <c r="AX168" s="86"/>
      <c r="AY168" s="86"/>
      <c r="AZ168" s="86"/>
      <c r="BA168" s="86"/>
      <c r="BB168" s="86"/>
      <c r="BC168" s="86"/>
      <c r="BD168" s="86"/>
      <c r="BE168" s="86"/>
      <c r="BF168" s="86"/>
      <c r="BG168" s="86"/>
    </row>
    <row r="169" spans="34:59" ht="24.75" customHeight="1">
      <c r="AH169" s="206"/>
      <c r="AI169" s="206"/>
      <c r="AJ169" s="206"/>
      <c r="AK169" s="206"/>
      <c r="AL169" s="206"/>
      <c r="AM169" s="206"/>
      <c r="AN169" s="206"/>
      <c r="AO169" s="206"/>
      <c r="AP169" s="206"/>
      <c r="AQ169" s="206"/>
      <c r="AR169" s="206"/>
      <c r="AS169" s="206"/>
      <c r="AT169" s="206"/>
      <c r="AU169" s="206"/>
      <c r="AV169" s="206"/>
      <c r="AW169" s="86"/>
      <c r="AX169" s="86"/>
      <c r="AY169" s="86"/>
      <c r="AZ169" s="86"/>
      <c r="BA169" s="86"/>
      <c r="BB169" s="86"/>
      <c r="BC169" s="86"/>
      <c r="BD169" s="86"/>
      <c r="BE169" s="86"/>
      <c r="BF169" s="86"/>
      <c r="BG169" s="86"/>
    </row>
    <row r="170" spans="34:59" ht="24.75" customHeight="1">
      <c r="AH170" s="206"/>
      <c r="AI170" s="206"/>
      <c r="AJ170" s="206"/>
      <c r="AK170" s="206"/>
      <c r="AL170" s="206"/>
      <c r="AM170" s="206"/>
      <c r="AN170" s="206"/>
      <c r="AO170" s="206"/>
      <c r="AP170" s="206"/>
      <c r="AQ170" s="206"/>
      <c r="AR170" s="206"/>
      <c r="AS170" s="206"/>
      <c r="AT170" s="206"/>
      <c r="AU170" s="206"/>
      <c r="AV170" s="206"/>
      <c r="AW170" s="86"/>
      <c r="AX170" s="86"/>
      <c r="AY170" s="86"/>
      <c r="AZ170" s="86"/>
      <c r="BA170" s="86"/>
      <c r="BB170" s="86"/>
      <c r="BC170" s="86"/>
      <c r="BD170" s="86"/>
      <c r="BE170" s="86"/>
      <c r="BF170" s="86"/>
      <c r="BG170" s="86"/>
    </row>
    <row r="171" spans="34:59" ht="24.75" customHeight="1">
      <c r="AH171" s="206"/>
      <c r="AI171" s="206"/>
      <c r="AJ171" s="206"/>
      <c r="AK171" s="206"/>
      <c r="AL171" s="206"/>
      <c r="AM171" s="206"/>
      <c r="AN171" s="206"/>
      <c r="AO171" s="206"/>
      <c r="AP171" s="206"/>
      <c r="AQ171" s="206"/>
      <c r="AR171" s="206"/>
      <c r="AS171" s="206"/>
      <c r="AT171" s="206"/>
      <c r="AU171" s="206"/>
      <c r="AV171" s="206"/>
      <c r="AW171" s="86"/>
      <c r="AX171" s="86"/>
      <c r="AY171" s="86"/>
      <c r="AZ171" s="86"/>
      <c r="BA171" s="86"/>
      <c r="BB171" s="86"/>
      <c r="BC171" s="86"/>
      <c r="BD171" s="86"/>
      <c r="BE171" s="86"/>
      <c r="BF171" s="86"/>
      <c r="BG171" s="86"/>
    </row>
    <row r="172" spans="34:59" ht="24.75" customHeight="1">
      <c r="AH172" s="206"/>
      <c r="AI172" s="206"/>
      <c r="AJ172" s="206"/>
      <c r="AK172" s="206"/>
      <c r="AL172" s="206"/>
      <c r="AM172" s="206"/>
      <c r="AN172" s="206"/>
      <c r="AO172" s="206"/>
      <c r="AP172" s="206"/>
      <c r="AQ172" s="206"/>
      <c r="AR172" s="206"/>
      <c r="AS172" s="206"/>
      <c r="AT172" s="206"/>
      <c r="AU172" s="206"/>
      <c r="AV172" s="206"/>
      <c r="AW172" s="86"/>
      <c r="AX172" s="86"/>
      <c r="AY172" s="86"/>
      <c r="AZ172" s="86"/>
      <c r="BA172" s="86"/>
      <c r="BB172" s="86"/>
      <c r="BC172" s="86"/>
      <c r="BD172" s="86"/>
      <c r="BE172" s="86"/>
      <c r="BF172" s="86"/>
      <c r="BG172" s="86"/>
    </row>
    <row r="173" spans="34:59" ht="24.75" customHeight="1">
      <c r="AH173" s="206"/>
      <c r="AI173" s="206"/>
      <c r="AJ173" s="206"/>
      <c r="AK173" s="206"/>
      <c r="AL173" s="206"/>
      <c r="AM173" s="206"/>
      <c r="AN173" s="206"/>
      <c r="AO173" s="206"/>
      <c r="AP173" s="206"/>
      <c r="AQ173" s="206"/>
      <c r="AR173" s="206"/>
      <c r="AS173" s="206"/>
      <c r="AT173" s="206"/>
      <c r="AU173" s="206"/>
      <c r="AV173" s="206"/>
      <c r="AW173" s="86"/>
      <c r="AX173" s="86"/>
      <c r="AY173" s="86"/>
      <c r="AZ173" s="86"/>
      <c r="BA173" s="86"/>
      <c r="BB173" s="86"/>
      <c r="BC173" s="86"/>
      <c r="BD173" s="86"/>
      <c r="BE173" s="86"/>
      <c r="BF173" s="86"/>
      <c r="BG173" s="86"/>
    </row>
    <row r="174" spans="34:59" ht="24.75" customHeight="1">
      <c r="AH174" s="206"/>
      <c r="AI174" s="206"/>
      <c r="AJ174" s="206"/>
      <c r="AK174" s="206"/>
      <c r="AL174" s="206"/>
      <c r="AM174" s="206"/>
      <c r="AN174" s="206"/>
      <c r="AO174" s="206"/>
      <c r="AP174" s="206"/>
      <c r="AQ174" s="206"/>
      <c r="AR174" s="206"/>
      <c r="AS174" s="206"/>
      <c r="AT174" s="206"/>
      <c r="AU174" s="206"/>
      <c r="AV174" s="206"/>
      <c r="AW174" s="86"/>
      <c r="AX174" s="86"/>
      <c r="AY174" s="86"/>
      <c r="AZ174" s="86"/>
      <c r="BA174" s="86"/>
      <c r="BB174" s="86"/>
      <c r="BC174" s="86"/>
      <c r="BD174" s="86"/>
      <c r="BE174" s="86"/>
      <c r="BF174" s="86"/>
      <c r="BG174" s="86"/>
    </row>
    <row r="175" spans="34:59" ht="24.75" customHeight="1">
      <c r="AH175" s="206"/>
      <c r="AI175" s="206"/>
      <c r="AJ175" s="206"/>
      <c r="AK175" s="206"/>
      <c r="AL175" s="206"/>
      <c r="AM175" s="206"/>
      <c r="AN175" s="206"/>
      <c r="AO175" s="206"/>
      <c r="AP175" s="206"/>
      <c r="AQ175" s="206"/>
      <c r="AR175" s="206"/>
      <c r="AS175" s="206"/>
      <c r="AT175" s="206"/>
      <c r="AU175" s="206"/>
      <c r="AV175" s="206"/>
      <c r="AW175" s="86"/>
      <c r="AX175" s="86"/>
      <c r="AY175" s="86"/>
      <c r="AZ175" s="86"/>
      <c r="BA175" s="86"/>
      <c r="BB175" s="86"/>
      <c r="BC175" s="86"/>
      <c r="BD175" s="86"/>
      <c r="BE175" s="86"/>
      <c r="BF175" s="86"/>
      <c r="BG175" s="86"/>
    </row>
    <row r="176" spans="34:59" ht="24.75" customHeight="1">
      <c r="AH176" s="206"/>
      <c r="AI176" s="206"/>
      <c r="AJ176" s="206"/>
      <c r="AK176" s="206"/>
      <c r="AL176" s="206"/>
      <c r="AM176" s="206"/>
      <c r="AN176" s="206"/>
      <c r="AO176" s="206"/>
      <c r="AP176" s="206"/>
      <c r="AQ176" s="206"/>
      <c r="AR176" s="206"/>
      <c r="AS176" s="206"/>
      <c r="AT176" s="206"/>
      <c r="AU176" s="206"/>
      <c r="AV176" s="206"/>
      <c r="AW176" s="86"/>
      <c r="AX176" s="86"/>
      <c r="AY176" s="86"/>
      <c r="AZ176" s="86"/>
      <c r="BA176" s="86"/>
      <c r="BB176" s="86"/>
      <c r="BC176" s="86"/>
      <c r="BD176" s="86"/>
      <c r="BE176" s="86"/>
      <c r="BF176" s="86"/>
      <c r="BG176" s="86"/>
    </row>
    <row r="177" ht="24.75" customHeight="1"/>
    <row r="178" ht="24.75" customHeight="1"/>
  </sheetData>
  <mergeCells count="130">
    <mergeCell ref="BO2:BP2"/>
    <mergeCell ref="BO3:BP3"/>
    <mergeCell ref="BO4:BP4"/>
    <mergeCell ref="BM2:BN2"/>
    <mergeCell ref="BM3:BN3"/>
    <mergeCell ref="BM4:BN4"/>
    <mergeCell ref="B39:B40"/>
    <mergeCell ref="B41:B42"/>
    <mergeCell ref="AQ3:AR3"/>
    <mergeCell ref="AE4:AF4"/>
    <mergeCell ref="BA2:BB2"/>
    <mergeCell ref="BC2:BD2"/>
    <mergeCell ref="BE2:BF2"/>
    <mergeCell ref="BG2:BH2"/>
    <mergeCell ref="BI2:BJ2"/>
    <mergeCell ref="AE3:AF3"/>
    <mergeCell ref="AG3:AH3"/>
    <mergeCell ref="AI3:AJ3"/>
    <mergeCell ref="AK3:AL3"/>
    <mergeCell ref="AO2:AP2"/>
    <mergeCell ref="AE2:AF2"/>
    <mergeCell ref="AG2:AH2"/>
    <mergeCell ref="AI2:AJ2"/>
    <mergeCell ref="AK2:AL2"/>
    <mergeCell ref="AM2:AN2"/>
    <mergeCell ref="AQ2:AR2"/>
    <mergeCell ref="AS2:AT2"/>
    <mergeCell ref="BI65:BJ65"/>
    <mergeCell ref="BE3:BF3"/>
    <mergeCell ref="BG3:BH3"/>
    <mergeCell ref="BE4:BF4"/>
    <mergeCell ref="BG4:BH4"/>
    <mergeCell ref="AS3:AT3"/>
    <mergeCell ref="AU3:AV3"/>
    <mergeCell ref="AW3:AX3"/>
    <mergeCell ref="AY3:AZ3"/>
    <mergeCell ref="BA3:BB3"/>
    <mergeCell ref="BC3:BD3"/>
    <mergeCell ref="BA4:BB4"/>
    <mergeCell ref="BC4:BD4"/>
    <mergeCell ref="AU2:AV2"/>
    <mergeCell ref="AW2:AX2"/>
    <mergeCell ref="AY2:AZ2"/>
    <mergeCell ref="BI3:BJ3"/>
    <mergeCell ref="AM3:AN3"/>
    <mergeCell ref="AO3:AP3"/>
    <mergeCell ref="B33:B34"/>
    <mergeCell ref="BI4:BJ4"/>
    <mergeCell ref="AY4:AZ4"/>
    <mergeCell ref="AM65:AN65"/>
    <mergeCell ref="AG4:AH4"/>
    <mergeCell ref="AI4:AJ4"/>
    <mergeCell ref="AK4:AL4"/>
    <mergeCell ref="AM4:AN4"/>
    <mergeCell ref="AO4:AP4"/>
    <mergeCell ref="AQ4:AR4"/>
    <mergeCell ref="AS4:AT4"/>
    <mergeCell ref="AU4:AV4"/>
    <mergeCell ref="AE65:AF65"/>
    <mergeCell ref="AG65:AH65"/>
    <mergeCell ref="P33:P34"/>
    <mergeCell ref="AW4:AX4"/>
    <mergeCell ref="BE65:BF65"/>
    <mergeCell ref="BG65:BH65"/>
    <mergeCell ref="AE66:AF66"/>
    <mergeCell ref="AG66:AH66"/>
    <mergeCell ref="AI66:AJ66"/>
    <mergeCell ref="AK66:AL66"/>
    <mergeCell ref="AM66:AN66"/>
    <mergeCell ref="AO66:AP66"/>
    <mergeCell ref="AQ66:AR66"/>
    <mergeCell ref="AS66:AT66"/>
    <mergeCell ref="AU66:AV66"/>
    <mergeCell ref="AE67:AF67"/>
    <mergeCell ref="AG67:AH67"/>
    <mergeCell ref="AI67:AJ67"/>
    <mergeCell ref="AK67:AL67"/>
    <mergeCell ref="AM67:AN67"/>
    <mergeCell ref="AO67:AP67"/>
    <mergeCell ref="AQ67:AR67"/>
    <mergeCell ref="AS67:AT67"/>
    <mergeCell ref="AU67:AV67"/>
    <mergeCell ref="AH95:AH96"/>
    <mergeCell ref="AH98:AH99"/>
    <mergeCell ref="AH100:AH101"/>
    <mergeCell ref="AH103:AH104"/>
    <mergeCell ref="AH105:AH106"/>
    <mergeCell ref="AW88:AW89"/>
    <mergeCell ref="AW93:AW94"/>
    <mergeCell ref="AW95:AW96"/>
    <mergeCell ref="P35:P36"/>
    <mergeCell ref="P39:P40"/>
    <mergeCell ref="P41:P42"/>
    <mergeCell ref="P45:P46"/>
    <mergeCell ref="P47:P48"/>
    <mergeCell ref="P51:P52"/>
    <mergeCell ref="P53:P54"/>
    <mergeCell ref="AW67:AX67"/>
    <mergeCell ref="AW66:AX66"/>
    <mergeCell ref="AO65:AP65"/>
    <mergeCell ref="AQ65:AR65"/>
    <mergeCell ref="AS65:AT65"/>
    <mergeCell ref="AU65:AV65"/>
    <mergeCell ref="AW65:AX65"/>
    <mergeCell ref="AI65:AJ65"/>
    <mergeCell ref="AK65:AL65"/>
    <mergeCell ref="BK2:BL2"/>
    <mergeCell ref="BK3:BL3"/>
    <mergeCell ref="BK4:BL4"/>
    <mergeCell ref="BK65:BL65"/>
    <mergeCell ref="BK66:BL66"/>
    <mergeCell ref="BK67:BL67"/>
    <mergeCell ref="AH88:AH89"/>
    <mergeCell ref="AH90:AH91"/>
    <mergeCell ref="AH93:AH94"/>
    <mergeCell ref="BC67:BD67"/>
    <mergeCell ref="BC65:BD65"/>
    <mergeCell ref="AY65:AZ65"/>
    <mergeCell ref="BA65:BB65"/>
    <mergeCell ref="BE67:BF67"/>
    <mergeCell ref="BG67:BH67"/>
    <mergeCell ref="BI67:BJ67"/>
    <mergeCell ref="BC66:BD66"/>
    <mergeCell ref="BE66:BF66"/>
    <mergeCell ref="BG66:BH66"/>
    <mergeCell ref="BI66:BJ66"/>
    <mergeCell ref="AY67:AZ67"/>
    <mergeCell ref="BA67:BB67"/>
    <mergeCell ref="AY66:AZ66"/>
    <mergeCell ref="BA66:BB66"/>
  </mergeCells>
  <phoneticPr fontId="2"/>
  <pageMargins left="0.39370078740157483" right="0" top="0.55118110236220474" bottom="0" header="0.31496062992125984" footer="0.31496062992125984"/>
  <pageSetup paperSize="8" scale="6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08"/>
  <sheetViews>
    <sheetView workbookViewId="0">
      <selection activeCell="H18" sqref="H18"/>
    </sheetView>
  </sheetViews>
  <sheetFormatPr defaultColWidth="9" defaultRowHeight="13.2"/>
  <cols>
    <col min="1" max="1" width="10.6640625" style="1" customWidth="1"/>
    <col min="2" max="2" width="6.44140625" style="2" bestFit="1" customWidth="1"/>
    <col min="3" max="3" width="9" style="2"/>
    <col min="4" max="4" width="30.88671875" style="1" customWidth="1"/>
    <col min="5" max="5" width="9" style="2"/>
    <col min="6" max="15" width="9" style="1"/>
    <col min="16" max="16" width="48.6640625" style="1" customWidth="1"/>
    <col min="17" max="16384" width="9" style="1"/>
  </cols>
  <sheetData>
    <row r="1" spans="1:16" ht="20.100000000000001" customHeight="1">
      <c r="A1" s="65" t="s">
        <v>761</v>
      </c>
    </row>
    <row r="2" spans="1:16" ht="20.100000000000001" customHeight="1">
      <c r="A2" s="66" t="s">
        <v>762</v>
      </c>
      <c r="O2" s="4" t="s">
        <v>288</v>
      </c>
    </row>
    <row r="3" spans="1:16" ht="19.5" customHeight="1">
      <c r="A3" s="32"/>
      <c r="B3" s="7"/>
      <c r="C3" s="696" t="s">
        <v>763</v>
      </c>
      <c r="D3" s="698" t="s">
        <v>764</v>
      </c>
      <c r="E3" s="26"/>
      <c r="F3" s="691" t="s">
        <v>765</v>
      </c>
      <c r="G3" s="49" t="s">
        <v>766</v>
      </c>
      <c r="H3" s="693" t="s">
        <v>767</v>
      </c>
      <c r="I3" s="694"/>
      <c r="J3" s="694"/>
      <c r="K3" s="695"/>
      <c r="L3" s="693" t="s">
        <v>768</v>
      </c>
      <c r="M3" s="694"/>
      <c r="N3" s="694"/>
      <c r="O3" s="695"/>
      <c r="P3" s="15"/>
    </row>
    <row r="4" spans="1:16" s="2" customFormat="1" ht="19.5" customHeight="1">
      <c r="A4" s="31"/>
      <c r="B4" s="31"/>
      <c r="C4" s="697"/>
      <c r="D4" s="699"/>
      <c r="E4" s="23"/>
      <c r="F4" s="692"/>
      <c r="G4" s="50" t="s">
        <v>769</v>
      </c>
      <c r="H4" s="27" t="s">
        <v>770</v>
      </c>
      <c r="I4" s="18" t="s">
        <v>769</v>
      </c>
      <c r="J4" s="57" t="s">
        <v>771</v>
      </c>
      <c r="K4" s="18" t="s">
        <v>772</v>
      </c>
      <c r="L4" s="22" t="s">
        <v>770</v>
      </c>
      <c r="M4" s="11" t="s">
        <v>769</v>
      </c>
      <c r="N4" s="11" t="s">
        <v>773</v>
      </c>
      <c r="O4" s="23" t="s">
        <v>772</v>
      </c>
      <c r="P4" s="21"/>
    </row>
    <row r="5" spans="1:16" ht="20.100000000000001" customHeight="1">
      <c r="A5" s="7" t="s">
        <v>774</v>
      </c>
      <c r="B5" s="7" t="s">
        <v>775</v>
      </c>
      <c r="C5" s="7" t="s">
        <v>776</v>
      </c>
      <c r="D5" s="13" t="s">
        <v>777</v>
      </c>
      <c r="E5" s="26"/>
      <c r="F5" s="34">
        <v>0</v>
      </c>
      <c r="G5" s="51">
        <v>-1167</v>
      </c>
      <c r="H5" s="36">
        <v>0</v>
      </c>
      <c r="I5" s="14">
        <v>-1167</v>
      </c>
      <c r="J5" s="32"/>
      <c r="K5" s="14">
        <f t="shared" ref="K5:K23" si="0">I5+J5</f>
        <v>-1167</v>
      </c>
      <c r="L5" s="34">
        <v>0</v>
      </c>
      <c r="M5" s="32">
        <v>-1167</v>
      </c>
      <c r="N5" s="32">
        <v>0</v>
      </c>
      <c r="O5" s="35">
        <f t="shared" ref="O5:O23" si="1">M5+N5</f>
        <v>-1167</v>
      </c>
      <c r="P5" s="16"/>
    </row>
    <row r="6" spans="1:16" ht="20.100000000000001" customHeight="1">
      <c r="A6" s="8"/>
      <c r="B6" s="30"/>
      <c r="C6" s="30" t="s">
        <v>778</v>
      </c>
      <c r="D6" s="5" t="s">
        <v>779</v>
      </c>
      <c r="E6" s="29" t="s">
        <v>780</v>
      </c>
      <c r="F6" s="24">
        <v>297</v>
      </c>
      <c r="G6" s="52">
        <v>-165</v>
      </c>
      <c r="H6" s="28">
        <v>297</v>
      </c>
      <c r="I6" s="6">
        <v>-165</v>
      </c>
      <c r="J6" s="8"/>
      <c r="K6" s="6">
        <f t="shared" si="0"/>
        <v>-165</v>
      </c>
      <c r="L6" s="24">
        <v>297</v>
      </c>
      <c r="M6" s="8">
        <v>-165</v>
      </c>
      <c r="N6" s="8">
        <v>67</v>
      </c>
      <c r="O6" s="25">
        <f t="shared" si="1"/>
        <v>-98</v>
      </c>
      <c r="P6" s="16" t="s">
        <v>781</v>
      </c>
    </row>
    <row r="7" spans="1:16" ht="20.100000000000001" customHeight="1">
      <c r="A7" s="8"/>
      <c r="B7" s="30"/>
      <c r="C7" s="30" t="s">
        <v>782</v>
      </c>
      <c r="D7" s="5" t="s">
        <v>783</v>
      </c>
      <c r="E7" s="29" t="s">
        <v>780</v>
      </c>
      <c r="F7" s="24">
        <v>3145</v>
      </c>
      <c r="G7" s="52">
        <v>-220</v>
      </c>
      <c r="H7" s="28">
        <v>3145</v>
      </c>
      <c r="I7" s="6">
        <v>-220</v>
      </c>
      <c r="J7" s="8"/>
      <c r="K7" s="6">
        <f t="shared" si="0"/>
        <v>-220</v>
      </c>
      <c r="L7" s="24">
        <v>1960</v>
      </c>
      <c r="M7" s="8">
        <v>-175</v>
      </c>
      <c r="N7" s="8">
        <v>76</v>
      </c>
      <c r="O7" s="25">
        <f t="shared" si="1"/>
        <v>-99</v>
      </c>
      <c r="P7" s="16" t="s">
        <v>784</v>
      </c>
    </row>
    <row r="8" spans="1:16" ht="20.100000000000001" customHeight="1">
      <c r="A8" s="8"/>
      <c r="B8" s="30"/>
      <c r="C8" s="30"/>
      <c r="D8" s="5" t="s">
        <v>785</v>
      </c>
      <c r="E8" s="29" t="s">
        <v>780</v>
      </c>
      <c r="F8" s="24">
        <v>3679</v>
      </c>
      <c r="G8" s="52">
        <v>-133</v>
      </c>
      <c r="H8" s="28">
        <v>3679</v>
      </c>
      <c r="I8" s="6">
        <v>-133</v>
      </c>
      <c r="J8" s="8"/>
      <c r="K8" s="6">
        <f t="shared" si="0"/>
        <v>-133</v>
      </c>
      <c r="L8" s="24">
        <v>1449</v>
      </c>
      <c r="M8" s="8">
        <v>-73</v>
      </c>
      <c r="N8" s="8">
        <v>40</v>
      </c>
      <c r="O8" s="25">
        <f t="shared" si="1"/>
        <v>-33</v>
      </c>
      <c r="P8" s="16" t="s">
        <v>786</v>
      </c>
    </row>
    <row r="9" spans="1:16" ht="20.100000000000001" customHeight="1">
      <c r="A9" s="8"/>
      <c r="B9" s="30"/>
      <c r="C9" s="30"/>
      <c r="D9" s="5" t="s">
        <v>787</v>
      </c>
      <c r="E9" s="29" t="s">
        <v>780</v>
      </c>
      <c r="F9" s="24">
        <v>4080</v>
      </c>
      <c r="G9" s="52">
        <v>-155</v>
      </c>
      <c r="H9" s="28">
        <v>4080</v>
      </c>
      <c r="I9" s="6">
        <v>-155</v>
      </c>
      <c r="J9" s="8"/>
      <c r="K9" s="6">
        <f t="shared" si="0"/>
        <v>-155</v>
      </c>
      <c r="L9" s="24">
        <v>2595</v>
      </c>
      <c r="M9" s="8">
        <v>-106</v>
      </c>
      <c r="N9" s="8">
        <v>81</v>
      </c>
      <c r="O9" s="25">
        <f t="shared" si="1"/>
        <v>-25</v>
      </c>
      <c r="P9" s="16" t="s">
        <v>788</v>
      </c>
    </row>
    <row r="10" spans="1:16" ht="20.100000000000001" customHeight="1">
      <c r="A10" s="8"/>
      <c r="B10" s="30"/>
      <c r="C10" s="30"/>
      <c r="D10" s="5" t="s">
        <v>789</v>
      </c>
      <c r="E10" s="29" t="s">
        <v>780</v>
      </c>
      <c r="F10" s="24">
        <v>1865</v>
      </c>
      <c r="G10" s="52">
        <v>-90</v>
      </c>
      <c r="H10" s="28">
        <v>1865</v>
      </c>
      <c r="I10" s="6">
        <v>-90</v>
      </c>
      <c r="J10" s="8"/>
      <c r="K10" s="6">
        <f t="shared" si="0"/>
        <v>-90</v>
      </c>
      <c r="L10" s="24">
        <v>1865</v>
      </c>
      <c r="M10" s="8">
        <v>-90</v>
      </c>
      <c r="N10" s="8">
        <v>0</v>
      </c>
      <c r="O10" s="25">
        <f t="shared" si="1"/>
        <v>-90</v>
      </c>
      <c r="P10" s="16"/>
    </row>
    <row r="11" spans="1:16" ht="20.100000000000001" customHeight="1">
      <c r="A11" s="8"/>
      <c r="B11" s="30"/>
      <c r="C11" s="30"/>
      <c r="D11" s="5" t="s">
        <v>790</v>
      </c>
      <c r="E11" s="29" t="s">
        <v>780</v>
      </c>
      <c r="F11" s="24">
        <v>1643</v>
      </c>
      <c r="G11" s="52">
        <v>-75</v>
      </c>
      <c r="H11" s="28">
        <v>1643</v>
      </c>
      <c r="I11" s="6">
        <v>-75</v>
      </c>
      <c r="J11" s="8"/>
      <c r="K11" s="6">
        <f t="shared" si="0"/>
        <v>-75</v>
      </c>
      <c r="L11" s="24">
        <v>986</v>
      </c>
      <c r="M11" s="8">
        <v>-76</v>
      </c>
      <c r="N11" s="8">
        <v>0</v>
      </c>
      <c r="O11" s="25">
        <f t="shared" si="1"/>
        <v>-76</v>
      </c>
      <c r="P11" s="16"/>
    </row>
    <row r="12" spans="1:16" ht="20.100000000000001" customHeight="1">
      <c r="A12" s="8"/>
      <c r="B12" s="30"/>
      <c r="C12" s="30"/>
      <c r="D12" s="5" t="s">
        <v>791</v>
      </c>
      <c r="E12" s="29" t="s">
        <v>792</v>
      </c>
      <c r="F12" s="24">
        <v>3408</v>
      </c>
      <c r="G12" s="52">
        <v>-407</v>
      </c>
      <c r="H12" s="28">
        <v>3266</v>
      </c>
      <c r="I12" s="6">
        <v>-356</v>
      </c>
      <c r="J12" s="8">
        <v>-51</v>
      </c>
      <c r="K12" s="6">
        <f t="shared" si="0"/>
        <v>-407</v>
      </c>
      <c r="L12" s="24">
        <v>3266</v>
      </c>
      <c r="M12" s="8">
        <v>-356</v>
      </c>
      <c r="N12" s="8">
        <v>-51</v>
      </c>
      <c r="O12" s="25">
        <f t="shared" si="1"/>
        <v>-407</v>
      </c>
      <c r="P12" s="16"/>
    </row>
    <row r="13" spans="1:16" ht="20.100000000000001" customHeight="1">
      <c r="A13" s="8"/>
      <c r="B13" s="30"/>
      <c r="C13" s="30"/>
      <c r="D13" s="5" t="s">
        <v>793</v>
      </c>
      <c r="E13" s="29" t="s">
        <v>792</v>
      </c>
      <c r="F13" s="24">
        <v>1227</v>
      </c>
      <c r="G13" s="52">
        <v>-420</v>
      </c>
      <c r="H13" s="28">
        <v>1214</v>
      </c>
      <c r="I13" s="6">
        <v>-371</v>
      </c>
      <c r="J13" s="8">
        <v>-49</v>
      </c>
      <c r="K13" s="6">
        <f t="shared" si="0"/>
        <v>-420</v>
      </c>
      <c r="L13" s="24">
        <v>1013</v>
      </c>
      <c r="M13" s="8">
        <v>-296</v>
      </c>
      <c r="N13" s="8">
        <v>296</v>
      </c>
      <c r="O13" s="25">
        <f t="shared" si="1"/>
        <v>0</v>
      </c>
      <c r="P13" s="16" t="s">
        <v>794</v>
      </c>
    </row>
    <row r="14" spans="1:16" ht="20.100000000000001" customHeight="1">
      <c r="A14" s="8"/>
      <c r="B14" s="30"/>
      <c r="C14" s="30"/>
      <c r="D14" s="5" t="s">
        <v>795</v>
      </c>
      <c r="E14" s="29" t="s">
        <v>792</v>
      </c>
      <c r="F14" s="24">
        <v>1352</v>
      </c>
      <c r="G14" s="52">
        <v>-122</v>
      </c>
      <c r="H14" s="28">
        <v>878</v>
      </c>
      <c r="I14" s="6">
        <v>-79</v>
      </c>
      <c r="J14" s="8">
        <v>-43</v>
      </c>
      <c r="K14" s="6">
        <f t="shared" si="0"/>
        <v>-122</v>
      </c>
      <c r="L14" s="24">
        <v>878</v>
      </c>
      <c r="M14" s="8">
        <v>-79</v>
      </c>
      <c r="N14" s="8">
        <v>-43</v>
      </c>
      <c r="O14" s="25">
        <f t="shared" si="1"/>
        <v>-122</v>
      </c>
      <c r="P14" s="16"/>
    </row>
    <row r="15" spans="1:16" ht="20.100000000000001" customHeight="1">
      <c r="A15" s="8"/>
      <c r="B15" s="30"/>
      <c r="C15" s="30"/>
      <c r="D15" s="5" t="s">
        <v>796</v>
      </c>
      <c r="E15" s="29" t="s">
        <v>792</v>
      </c>
      <c r="F15" s="24">
        <v>746</v>
      </c>
      <c r="G15" s="52">
        <v>-100</v>
      </c>
      <c r="H15" s="28">
        <v>493</v>
      </c>
      <c r="I15" s="6">
        <v>-63</v>
      </c>
      <c r="J15" s="8">
        <v>-37</v>
      </c>
      <c r="K15" s="6">
        <f t="shared" si="0"/>
        <v>-100</v>
      </c>
      <c r="L15" s="24">
        <v>424</v>
      </c>
      <c r="M15" s="8">
        <v>-63</v>
      </c>
      <c r="N15" s="8">
        <v>-37</v>
      </c>
      <c r="O15" s="25">
        <f t="shared" si="1"/>
        <v>-100</v>
      </c>
      <c r="P15" s="16"/>
    </row>
    <row r="16" spans="1:16" ht="20.100000000000001" customHeight="1">
      <c r="A16" s="8"/>
      <c r="B16" s="30"/>
      <c r="C16" s="30"/>
      <c r="D16" s="5" t="s">
        <v>797</v>
      </c>
      <c r="E16" s="29" t="s">
        <v>792</v>
      </c>
      <c r="F16" s="24">
        <v>2920</v>
      </c>
      <c r="G16" s="52">
        <v>-210</v>
      </c>
      <c r="H16" s="28">
        <v>607</v>
      </c>
      <c r="I16" s="6">
        <v>-44</v>
      </c>
      <c r="J16" s="8">
        <v>-166</v>
      </c>
      <c r="K16" s="6">
        <f t="shared" si="0"/>
        <v>-210</v>
      </c>
      <c r="L16" s="24">
        <v>607</v>
      </c>
      <c r="M16" s="8">
        <v>-44</v>
      </c>
      <c r="N16" s="8">
        <v>-166</v>
      </c>
      <c r="O16" s="25">
        <f t="shared" si="1"/>
        <v>-210</v>
      </c>
      <c r="P16" s="16"/>
    </row>
    <row r="17" spans="1:16" ht="20.100000000000001" customHeight="1">
      <c r="A17" s="8"/>
      <c r="B17" s="30"/>
      <c r="C17" s="30"/>
      <c r="D17" s="5" t="s">
        <v>798</v>
      </c>
      <c r="E17" s="29" t="s">
        <v>792</v>
      </c>
      <c r="F17" s="24">
        <v>2333</v>
      </c>
      <c r="G17" s="52">
        <v>-118</v>
      </c>
      <c r="H17" s="28">
        <v>654</v>
      </c>
      <c r="I17" s="6">
        <v>-32</v>
      </c>
      <c r="J17" s="8">
        <v>-86</v>
      </c>
      <c r="K17" s="6">
        <f t="shared" si="0"/>
        <v>-118</v>
      </c>
      <c r="L17" s="24">
        <v>654</v>
      </c>
      <c r="M17" s="8">
        <v>-32</v>
      </c>
      <c r="N17" s="8">
        <v>-86</v>
      </c>
      <c r="O17" s="25">
        <f t="shared" si="1"/>
        <v>-118</v>
      </c>
      <c r="P17" s="16"/>
    </row>
    <row r="18" spans="1:16" ht="20.100000000000001" customHeight="1">
      <c r="A18" s="8"/>
      <c r="B18" s="30"/>
      <c r="C18" s="30"/>
      <c r="D18" s="5" t="s">
        <v>799</v>
      </c>
      <c r="E18" s="29" t="s">
        <v>792</v>
      </c>
      <c r="F18" s="24">
        <v>3865</v>
      </c>
      <c r="G18" s="52">
        <v>-268</v>
      </c>
      <c r="H18" s="28">
        <v>679</v>
      </c>
      <c r="I18" s="6">
        <v>-47</v>
      </c>
      <c r="J18" s="8">
        <v>-221</v>
      </c>
      <c r="K18" s="6">
        <f t="shared" si="0"/>
        <v>-268</v>
      </c>
      <c r="L18" s="24">
        <v>679</v>
      </c>
      <c r="M18" s="8">
        <v>-47</v>
      </c>
      <c r="N18" s="8">
        <v>-221</v>
      </c>
      <c r="O18" s="25">
        <f t="shared" si="1"/>
        <v>-268</v>
      </c>
      <c r="P18" s="16"/>
    </row>
    <row r="19" spans="1:16" ht="20.100000000000001" customHeight="1">
      <c r="A19" s="8"/>
      <c r="B19" s="30"/>
      <c r="C19" s="30"/>
      <c r="D19" s="5" t="s">
        <v>800</v>
      </c>
      <c r="E19" s="29" t="s">
        <v>792</v>
      </c>
      <c r="F19" s="24">
        <v>10516</v>
      </c>
      <c r="G19" s="52">
        <v>-403</v>
      </c>
      <c r="H19" s="28">
        <v>3048</v>
      </c>
      <c r="I19" s="6">
        <v>-117</v>
      </c>
      <c r="J19" s="8">
        <v>-286</v>
      </c>
      <c r="K19" s="6">
        <f t="shared" si="0"/>
        <v>-403</v>
      </c>
      <c r="L19" s="24">
        <v>3048</v>
      </c>
      <c r="M19" s="8">
        <v>-117</v>
      </c>
      <c r="N19" s="8">
        <v>-286</v>
      </c>
      <c r="O19" s="25">
        <f t="shared" si="1"/>
        <v>-403</v>
      </c>
      <c r="P19" s="16"/>
    </row>
    <row r="20" spans="1:16" ht="20.100000000000001" customHeight="1">
      <c r="A20" s="8"/>
      <c r="B20" s="30"/>
      <c r="C20" s="30" t="s">
        <v>801</v>
      </c>
      <c r="D20" s="5" t="s">
        <v>802</v>
      </c>
      <c r="E20" s="29" t="s">
        <v>780</v>
      </c>
      <c r="F20" s="24">
        <v>12848</v>
      </c>
      <c r="G20" s="52">
        <v>-271</v>
      </c>
      <c r="H20" s="28">
        <v>12848</v>
      </c>
      <c r="I20" s="6">
        <v>-271</v>
      </c>
      <c r="J20" s="8"/>
      <c r="K20" s="6">
        <f t="shared" si="0"/>
        <v>-271</v>
      </c>
      <c r="L20" s="24">
        <v>11988</v>
      </c>
      <c r="M20" s="8">
        <v>-284</v>
      </c>
      <c r="N20" s="8">
        <v>0</v>
      </c>
      <c r="O20" s="25">
        <f t="shared" si="1"/>
        <v>-284</v>
      </c>
      <c r="P20" s="16"/>
    </row>
    <row r="21" spans="1:16" ht="20.100000000000001" customHeight="1">
      <c r="A21" s="8"/>
      <c r="B21" s="30"/>
      <c r="C21" s="30"/>
      <c r="D21" s="5" t="s">
        <v>803</v>
      </c>
      <c r="E21" s="29" t="s">
        <v>792</v>
      </c>
      <c r="F21" s="24">
        <v>1251</v>
      </c>
      <c r="G21" s="52">
        <v>-74</v>
      </c>
      <c r="H21" s="28">
        <v>1215</v>
      </c>
      <c r="I21" s="6">
        <v>-70</v>
      </c>
      <c r="J21" s="8">
        <v>-4</v>
      </c>
      <c r="K21" s="6">
        <f t="shared" si="0"/>
        <v>-74</v>
      </c>
      <c r="L21" s="24">
        <v>978</v>
      </c>
      <c r="M21" s="8">
        <v>-72</v>
      </c>
      <c r="N21" s="8">
        <v>-4</v>
      </c>
      <c r="O21" s="25">
        <f t="shared" si="1"/>
        <v>-76</v>
      </c>
      <c r="P21" s="16"/>
    </row>
    <row r="22" spans="1:16" ht="20.100000000000001" customHeight="1">
      <c r="A22" s="8"/>
      <c r="B22" s="30"/>
      <c r="C22" s="30" t="s">
        <v>804</v>
      </c>
      <c r="D22" s="5" t="s">
        <v>805</v>
      </c>
      <c r="E22" s="29" t="s">
        <v>780</v>
      </c>
      <c r="F22" s="24">
        <v>3592</v>
      </c>
      <c r="G22" s="52">
        <v>-196</v>
      </c>
      <c r="H22" s="28">
        <v>3592</v>
      </c>
      <c r="I22" s="6">
        <v>-196</v>
      </c>
      <c r="J22" s="8"/>
      <c r="K22" s="6">
        <f t="shared" si="0"/>
        <v>-196</v>
      </c>
      <c r="L22" s="24">
        <v>3592</v>
      </c>
      <c r="M22" s="8">
        <v>-196</v>
      </c>
      <c r="N22" s="8">
        <v>480</v>
      </c>
      <c r="O22" s="25">
        <f t="shared" si="1"/>
        <v>284</v>
      </c>
      <c r="P22" s="16" t="s">
        <v>806</v>
      </c>
    </row>
    <row r="23" spans="1:16" ht="20.100000000000001" customHeight="1">
      <c r="A23" s="8"/>
      <c r="B23" s="31"/>
      <c r="C23" s="31"/>
      <c r="D23" s="17" t="s">
        <v>807</v>
      </c>
      <c r="E23" s="23" t="s">
        <v>792</v>
      </c>
      <c r="F23" s="46">
        <v>3895</v>
      </c>
      <c r="G23" s="53">
        <v>-802</v>
      </c>
      <c r="H23" s="48">
        <v>2450</v>
      </c>
      <c r="I23" s="19">
        <v>-245</v>
      </c>
      <c r="J23" s="33">
        <v>-557</v>
      </c>
      <c r="K23" s="19">
        <f t="shared" si="0"/>
        <v>-802</v>
      </c>
      <c r="L23" s="46">
        <v>1520</v>
      </c>
      <c r="M23" s="33">
        <v>-180</v>
      </c>
      <c r="N23" s="33">
        <v>-362</v>
      </c>
      <c r="O23" s="47">
        <f t="shared" si="1"/>
        <v>-542</v>
      </c>
      <c r="P23" s="16" t="s">
        <v>808</v>
      </c>
    </row>
    <row r="24" spans="1:16" ht="20.100000000000001" customHeight="1">
      <c r="A24" s="8"/>
      <c r="B24" s="677" t="s">
        <v>809</v>
      </c>
      <c r="C24" s="678"/>
      <c r="D24" s="678"/>
      <c r="E24" s="679"/>
      <c r="F24" s="37">
        <f>SUM(F5:F23)</f>
        <v>62662</v>
      </c>
      <c r="G24" s="54">
        <f t="shared" ref="G24:O24" si="2">SUM(G5:G23)</f>
        <v>-5396</v>
      </c>
      <c r="H24" s="39">
        <f t="shared" si="2"/>
        <v>45653</v>
      </c>
      <c r="I24" s="56">
        <f t="shared" si="2"/>
        <v>-3896</v>
      </c>
      <c r="J24" s="9">
        <f t="shared" ref="J24" si="3">SUM(J5:J23)</f>
        <v>-1500</v>
      </c>
      <c r="K24" s="56">
        <f t="shared" ref="K24" si="4">SUM(K5:K23)</f>
        <v>-5396</v>
      </c>
      <c r="L24" s="37">
        <f t="shared" si="2"/>
        <v>37799</v>
      </c>
      <c r="M24" s="40">
        <f t="shared" si="2"/>
        <v>-3618</v>
      </c>
      <c r="N24" s="40">
        <f t="shared" si="2"/>
        <v>-216</v>
      </c>
      <c r="O24" s="38">
        <f t="shared" si="2"/>
        <v>-3834</v>
      </c>
      <c r="P24" s="48"/>
    </row>
    <row r="25" spans="1:16" ht="20.100000000000001" customHeight="1">
      <c r="A25" s="8"/>
      <c r="B25" s="11" t="s">
        <v>810</v>
      </c>
      <c r="C25" s="11" t="s">
        <v>811</v>
      </c>
      <c r="D25" s="44" t="s">
        <v>812</v>
      </c>
      <c r="E25" s="45" t="s">
        <v>792</v>
      </c>
      <c r="F25" s="34">
        <v>789</v>
      </c>
      <c r="G25" s="51">
        <v>-206</v>
      </c>
      <c r="H25" s="36">
        <v>470</v>
      </c>
      <c r="I25" s="14">
        <v>-95</v>
      </c>
      <c r="J25" s="32">
        <v>-110</v>
      </c>
      <c r="K25" s="14">
        <f>I25+J25</f>
        <v>-205</v>
      </c>
      <c r="L25" s="34">
        <v>363</v>
      </c>
      <c r="M25" s="32">
        <v>-96</v>
      </c>
      <c r="N25" s="32">
        <v>-110</v>
      </c>
      <c r="O25" s="35">
        <f>M25+N25</f>
        <v>-206</v>
      </c>
      <c r="P25" s="16"/>
    </row>
    <row r="26" spans="1:16" ht="20.100000000000001" customHeight="1">
      <c r="A26" s="33"/>
      <c r="B26" s="677" t="s">
        <v>813</v>
      </c>
      <c r="C26" s="678"/>
      <c r="D26" s="678"/>
      <c r="E26" s="679"/>
      <c r="F26" s="41">
        <f>F25</f>
        <v>789</v>
      </c>
      <c r="G26" s="55">
        <f t="shared" ref="G26:O26" si="5">G25</f>
        <v>-206</v>
      </c>
      <c r="H26" s="43">
        <f t="shared" si="5"/>
        <v>470</v>
      </c>
      <c r="I26" s="10">
        <f t="shared" si="5"/>
        <v>-95</v>
      </c>
      <c r="J26" s="9">
        <f>J25</f>
        <v>-110</v>
      </c>
      <c r="K26" s="10">
        <f>K25</f>
        <v>-205</v>
      </c>
      <c r="L26" s="41">
        <f t="shared" si="5"/>
        <v>363</v>
      </c>
      <c r="M26" s="9">
        <f t="shared" si="5"/>
        <v>-96</v>
      </c>
      <c r="N26" s="9">
        <f t="shared" si="5"/>
        <v>-110</v>
      </c>
      <c r="O26" s="42">
        <f t="shared" si="5"/>
        <v>-206</v>
      </c>
      <c r="P26" s="48"/>
    </row>
    <row r="27" spans="1:16" ht="20.100000000000001" customHeight="1">
      <c r="A27" s="674" t="s">
        <v>814</v>
      </c>
      <c r="B27" s="675"/>
      <c r="C27" s="675"/>
      <c r="D27" s="675"/>
      <c r="E27" s="676"/>
      <c r="F27" s="682">
        <f>F24+F26</f>
        <v>63451</v>
      </c>
      <c r="G27" s="684">
        <f t="shared" ref="G27:O27" si="6">G24+G26</f>
        <v>-5602</v>
      </c>
      <c r="H27" s="686">
        <f t="shared" si="6"/>
        <v>46123</v>
      </c>
      <c r="I27" s="680">
        <f t="shared" si="6"/>
        <v>-3991</v>
      </c>
      <c r="J27" s="670">
        <f t="shared" ref="J27" si="7">J24+J26</f>
        <v>-1610</v>
      </c>
      <c r="K27" s="680">
        <f t="shared" ref="K27" si="8">K24+K26</f>
        <v>-5601</v>
      </c>
      <c r="L27" s="682">
        <f t="shared" si="6"/>
        <v>38162</v>
      </c>
      <c r="M27" s="670">
        <f t="shared" si="6"/>
        <v>-3714</v>
      </c>
      <c r="N27" s="670">
        <f t="shared" si="6"/>
        <v>-326</v>
      </c>
      <c r="O27" s="672">
        <f t="shared" si="6"/>
        <v>-4040</v>
      </c>
      <c r="P27" s="16"/>
    </row>
    <row r="28" spans="1:16" ht="20.100000000000001" customHeight="1">
      <c r="A28" s="677"/>
      <c r="B28" s="678"/>
      <c r="C28" s="678"/>
      <c r="D28" s="678"/>
      <c r="E28" s="679"/>
      <c r="F28" s="683"/>
      <c r="G28" s="685"/>
      <c r="H28" s="687"/>
      <c r="I28" s="681"/>
      <c r="J28" s="671"/>
      <c r="K28" s="681"/>
      <c r="L28" s="683"/>
      <c r="M28" s="671"/>
      <c r="N28" s="671"/>
      <c r="O28" s="673"/>
      <c r="P28" s="48"/>
    </row>
    <row r="29" spans="1:16" ht="20.100000000000001" customHeight="1">
      <c r="A29" s="30" t="s">
        <v>815</v>
      </c>
      <c r="B29" s="30" t="s">
        <v>775</v>
      </c>
      <c r="C29" s="30" t="s">
        <v>778</v>
      </c>
      <c r="D29" s="5" t="s">
        <v>816</v>
      </c>
      <c r="E29" s="29" t="s">
        <v>780</v>
      </c>
      <c r="F29" s="24">
        <v>3128</v>
      </c>
      <c r="G29" s="52">
        <v>64</v>
      </c>
      <c r="H29" s="28">
        <v>3128</v>
      </c>
      <c r="I29" s="6">
        <v>64</v>
      </c>
      <c r="J29" s="8"/>
      <c r="K29" s="6">
        <f t="shared" ref="K29:K36" si="9">I29+J29</f>
        <v>64</v>
      </c>
      <c r="L29" s="24">
        <v>420</v>
      </c>
      <c r="M29" s="8">
        <v>-166</v>
      </c>
      <c r="N29" s="8">
        <v>0</v>
      </c>
      <c r="O29" s="25">
        <f t="shared" ref="O29:O36" si="10">M29+N29</f>
        <v>-166</v>
      </c>
      <c r="P29" s="16"/>
    </row>
    <row r="30" spans="1:16" ht="20.100000000000001" customHeight="1">
      <c r="A30" s="8"/>
      <c r="B30" s="30"/>
      <c r="C30" s="30"/>
      <c r="D30" s="5" t="s">
        <v>817</v>
      </c>
      <c r="E30" s="29" t="s">
        <v>792</v>
      </c>
      <c r="F30" s="24">
        <v>2016</v>
      </c>
      <c r="G30" s="52">
        <v>-367</v>
      </c>
      <c r="H30" s="28">
        <v>1827</v>
      </c>
      <c r="I30" s="6">
        <v>-332</v>
      </c>
      <c r="J30" s="8">
        <v>-35</v>
      </c>
      <c r="K30" s="6">
        <f t="shared" si="9"/>
        <v>-367</v>
      </c>
      <c r="L30" s="24">
        <v>407</v>
      </c>
      <c r="M30" s="8">
        <v>-348</v>
      </c>
      <c r="N30" s="8">
        <v>-35</v>
      </c>
      <c r="O30" s="25">
        <f t="shared" si="10"/>
        <v>-383</v>
      </c>
      <c r="P30" s="16"/>
    </row>
    <row r="31" spans="1:16" ht="20.100000000000001" customHeight="1">
      <c r="A31" s="8"/>
      <c r="B31" s="30"/>
      <c r="C31" s="30" t="s">
        <v>818</v>
      </c>
      <c r="D31" s="5" t="s">
        <v>819</v>
      </c>
      <c r="E31" s="29" t="s">
        <v>792</v>
      </c>
      <c r="F31" s="24">
        <v>2802</v>
      </c>
      <c r="G31" s="52">
        <v>-478</v>
      </c>
      <c r="H31" s="28">
        <v>798</v>
      </c>
      <c r="I31" s="6">
        <v>-136</v>
      </c>
      <c r="J31" s="8">
        <v>-342</v>
      </c>
      <c r="K31" s="6">
        <f t="shared" si="9"/>
        <v>-478</v>
      </c>
      <c r="L31" s="24">
        <v>798</v>
      </c>
      <c r="M31" s="8">
        <v>-136</v>
      </c>
      <c r="N31" s="8">
        <v>-342</v>
      </c>
      <c r="O31" s="25">
        <f t="shared" si="10"/>
        <v>-478</v>
      </c>
      <c r="P31" s="16"/>
    </row>
    <row r="32" spans="1:16" ht="20.100000000000001" customHeight="1">
      <c r="A32" s="8"/>
      <c r="B32" s="30"/>
      <c r="C32" s="30"/>
      <c r="D32" s="5" t="s">
        <v>820</v>
      </c>
      <c r="E32" s="29" t="s">
        <v>792</v>
      </c>
      <c r="F32" s="24">
        <v>998</v>
      </c>
      <c r="G32" s="52">
        <v>-101</v>
      </c>
      <c r="H32" s="28">
        <v>441</v>
      </c>
      <c r="I32" s="6">
        <v>-43</v>
      </c>
      <c r="J32" s="8">
        <v>-58</v>
      </c>
      <c r="K32" s="6">
        <f t="shared" si="9"/>
        <v>-101</v>
      </c>
      <c r="L32" s="24">
        <v>441</v>
      </c>
      <c r="M32" s="8">
        <v>-43</v>
      </c>
      <c r="N32" s="8">
        <v>-58</v>
      </c>
      <c r="O32" s="25">
        <f t="shared" si="10"/>
        <v>-101</v>
      </c>
      <c r="P32" s="16"/>
    </row>
    <row r="33" spans="1:16" ht="20.100000000000001" customHeight="1">
      <c r="A33" s="8"/>
      <c r="B33" s="30"/>
      <c r="C33" s="30"/>
      <c r="D33" s="5" t="s">
        <v>821</v>
      </c>
      <c r="E33" s="29" t="s">
        <v>792</v>
      </c>
      <c r="F33" s="24">
        <v>586</v>
      </c>
      <c r="G33" s="52">
        <v>-97</v>
      </c>
      <c r="H33" s="28">
        <v>57</v>
      </c>
      <c r="I33" s="6">
        <v>-9</v>
      </c>
      <c r="J33" s="8">
        <v>-88</v>
      </c>
      <c r="K33" s="6">
        <f t="shared" si="9"/>
        <v>-97</v>
      </c>
      <c r="L33" s="24">
        <v>57</v>
      </c>
      <c r="M33" s="8">
        <v>-9</v>
      </c>
      <c r="N33" s="8">
        <v>-88</v>
      </c>
      <c r="O33" s="25">
        <f t="shared" si="10"/>
        <v>-97</v>
      </c>
      <c r="P33" s="16"/>
    </row>
    <row r="34" spans="1:16" ht="20.100000000000001" customHeight="1">
      <c r="A34" s="8"/>
      <c r="B34" s="30"/>
      <c r="C34" s="30" t="s">
        <v>801</v>
      </c>
      <c r="D34" s="5" t="s">
        <v>822</v>
      </c>
      <c r="E34" s="29" t="s">
        <v>792</v>
      </c>
      <c r="F34" s="24">
        <v>4621</v>
      </c>
      <c r="G34" s="52">
        <v>-360</v>
      </c>
      <c r="H34" s="28">
        <v>4284</v>
      </c>
      <c r="I34" s="6">
        <v>-334</v>
      </c>
      <c r="J34" s="8">
        <v>-26</v>
      </c>
      <c r="K34" s="6">
        <f t="shared" si="9"/>
        <v>-360</v>
      </c>
      <c r="L34" s="24">
        <v>1261</v>
      </c>
      <c r="M34" s="8">
        <v>-349</v>
      </c>
      <c r="N34" s="8">
        <v>-26</v>
      </c>
      <c r="O34" s="25">
        <f t="shared" si="10"/>
        <v>-375</v>
      </c>
      <c r="P34" s="16"/>
    </row>
    <row r="35" spans="1:16" ht="20.100000000000001" customHeight="1">
      <c r="A35" s="8"/>
      <c r="B35" s="30"/>
      <c r="C35" s="30"/>
      <c r="D35" s="5" t="s">
        <v>823</v>
      </c>
      <c r="E35" s="29" t="s">
        <v>792</v>
      </c>
      <c r="F35" s="24">
        <v>2100</v>
      </c>
      <c r="G35" s="52">
        <v>-99</v>
      </c>
      <c r="H35" s="28">
        <v>69</v>
      </c>
      <c r="I35" s="6">
        <v>-3</v>
      </c>
      <c r="J35" s="8">
        <v>-96</v>
      </c>
      <c r="K35" s="6">
        <f t="shared" si="9"/>
        <v>-99</v>
      </c>
      <c r="L35" s="24">
        <v>69</v>
      </c>
      <c r="M35" s="8">
        <v>-3</v>
      </c>
      <c r="N35" s="8">
        <v>-96</v>
      </c>
      <c r="O35" s="25">
        <f t="shared" si="10"/>
        <v>-99</v>
      </c>
      <c r="P35" s="16"/>
    </row>
    <row r="36" spans="1:16" ht="20.100000000000001" customHeight="1">
      <c r="A36" s="8"/>
      <c r="B36" s="30"/>
      <c r="C36" s="30" t="s">
        <v>824</v>
      </c>
      <c r="D36" s="5" t="s">
        <v>825</v>
      </c>
      <c r="E36" s="29" t="s">
        <v>792</v>
      </c>
      <c r="F36" s="24">
        <v>1347</v>
      </c>
      <c r="G36" s="52">
        <v>-245</v>
      </c>
      <c r="H36" s="28">
        <v>881</v>
      </c>
      <c r="I36" s="6">
        <v>-226</v>
      </c>
      <c r="J36" s="8">
        <v>-19</v>
      </c>
      <c r="K36" s="6">
        <f t="shared" si="9"/>
        <v>-245</v>
      </c>
      <c r="L36" s="24">
        <v>280</v>
      </c>
      <c r="M36" s="8">
        <v>-195</v>
      </c>
      <c r="N36" s="8">
        <v>39</v>
      </c>
      <c r="O36" s="25">
        <f t="shared" si="10"/>
        <v>-156</v>
      </c>
      <c r="P36" s="16" t="s">
        <v>826</v>
      </c>
    </row>
    <row r="37" spans="1:16" ht="20.100000000000001" customHeight="1">
      <c r="A37" s="8"/>
      <c r="B37" s="688" t="s">
        <v>827</v>
      </c>
      <c r="C37" s="689"/>
      <c r="D37" s="689"/>
      <c r="E37" s="690"/>
      <c r="F37" s="41">
        <f>SUM(F29:F36)</f>
        <v>17598</v>
      </c>
      <c r="G37" s="55">
        <f t="shared" ref="G37:O37" si="11">SUM(G29:G36)</f>
        <v>-1683</v>
      </c>
      <c r="H37" s="43">
        <f t="shared" si="11"/>
        <v>11485</v>
      </c>
      <c r="I37" s="10">
        <f t="shared" si="11"/>
        <v>-1019</v>
      </c>
      <c r="J37" s="9">
        <f t="shared" ref="J37" si="12">SUM(J29:J36)</f>
        <v>-664</v>
      </c>
      <c r="K37" s="10">
        <f t="shared" ref="K37" si="13">SUM(K29:K36)</f>
        <v>-1683</v>
      </c>
      <c r="L37" s="41">
        <f t="shared" si="11"/>
        <v>3733</v>
      </c>
      <c r="M37" s="9">
        <f t="shared" si="11"/>
        <v>-1249</v>
      </c>
      <c r="N37" s="9">
        <f t="shared" si="11"/>
        <v>-606</v>
      </c>
      <c r="O37" s="42">
        <f t="shared" si="11"/>
        <v>-1855</v>
      </c>
      <c r="P37" s="48"/>
    </row>
    <row r="38" spans="1:16" ht="20.100000000000001" customHeight="1">
      <c r="A38" s="8"/>
      <c r="B38" s="30" t="s">
        <v>810</v>
      </c>
      <c r="C38" s="30" t="s">
        <v>811</v>
      </c>
      <c r="D38" s="5" t="s">
        <v>828</v>
      </c>
      <c r="E38" s="29" t="s">
        <v>792</v>
      </c>
      <c r="F38" s="24">
        <v>8787</v>
      </c>
      <c r="G38" s="52">
        <v>-1255</v>
      </c>
      <c r="H38" s="28">
        <v>8787</v>
      </c>
      <c r="I38" s="6">
        <v>-1233</v>
      </c>
      <c r="J38" s="8">
        <v>-22</v>
      </c>
      <c r="K38" s="6">
        <f>I38+J38</f>
        <v>-1255</v>
      </c>
      <c r="L38" s="24">
        <v>1468</v>
      </c>
      <c r="M38" s="8">
        <v>-219</v>
      </c>
      <c r="N38" s="8">
        <v>184</v>
      </c>
      <c r="O38" s="25">
        <f t="shared" ref="O38:O43" si="14">M38+N38</f>
        <v>-35</v>
      </c>
      <c r="P38" s="16" t="s">
        <v>829</v>
      </c>
    </row>
    <row r="39" spans="1:16" ht="20.100000000000001" customHeight="1">
      <c r="A39" s="8"/>
      <c r="B39" s="30"/>
      <c r="C39" s="30"/>
      <c r="D39" s="5" t="s">
        <v>830</v>
      </c>
      <c r="E39" s="29" t="s">
        <v>792</v>
      </c>
      <c r="F39" s="24">
        <v>14179</v>
      </c>
      <c r="G39" s="52">
        <v>-82</v>
      </c>
      <c r="H39" s="28">
        <v>9692</v>
      </c>
      <c r="I39" s="6">
        <v>-70</v>
      </c>
      <c r="J39" s="8">
        <v>-12</v>
      </c>
      <c r="K39" s="6">
        <f>I39+J39</f>
        <v>-82</v>
      </c>
      <c r="L39" s="24">
        <v>5326</v>
      </c>
      <c r="M39" s="8">
        <v>-246</v>
      </c>
      <c r="N39" s="8">
        <v>-12</v>
      </c>
      <c r="O39" s="25">
        <f t="shared" si="14"/>
        <v>-258</v>
      </c>
      <c r="P39" s="16"/>
    </row>
    <row r="40" spans="1:16" ht="20.100000000000001" customHeight="1">
      <c r="A40" s="8"/>
      <c r="B40" s="30"/>
      <c r="C40" s="30"/>
      <c r="D40" s="5" t="s">
        <v>831</v>
      </c>
      <c r="E40" s="29" t="s">
        <v>832</v>
      </c>
      <c r="F40" s="24"/>
      <c r="G40" s="52"/>
      <c r="H40" s="28"/>
      <c r="I40" s="6"/>
      <c r="J40" s="8"/>
      <c r="K40" s="6"/>
      <c r="L40" s="24">
        <v>0</v>
      </c>
      <c r="M40" s="8">
        <v>-465</v>
      </c>
      <c r="N40" s="8"/>
      <c r="O40" s="25">
        <f t="shared" si="14"/>
        <v>-465</v>
      </c>
      <c r="P40" s="16" t="s">
        <v>833</v>
      </c>
    </row>
    <row r="41" spans="1:16" ht="20.100000000000001" customHeight="1">
      <c r="A41" s="8"/>
      <c r="B41" s="30"/>
      <c r="C41" s="30"/>
      <c r="D41" s="5" t="s">
        <v>834</v>
      </c>
      <c r="E41" s="29" t="s">
        <v>832</v>
      </c>
      <c r="F41" s="24"/>
      <c r="G41" s="52"/>
      <c r="H41" s="28"/>
      <c r="I41" s="6"/>
      <c r="J41" s="8"/>
      <c r="K41" s="6"/>
      <c r="L41" s="24">
        <v>-140</v>
      </c>
      <c r="M41" s="8">
        <v>-445</v>
      </c>
      <c r="N41" s="8"/>
      <c r="O41" s="25">
        <f t="shared" si="14"/>
        <v>-445</v>
      </c>
      <c r="P41" s="16" t="s">
        <v>835</v>
      </c>
    </row>
    <row r="42" spans="1:16" ht="20.100000000000001" customHeight="1">
      <c r="A42" s="8"/>
      <c r="B42" s="30"/>
      <c r="C42" s="30" t="s">
        <v>38</v>
      </c>
      <c r="D42" s="5" t="s">
        <v>836</v>
      </c>
      <c r="E42" s="29" t="s">
        <v>792</v>
      </c>
      <c r="F42" s="24">
        <v>29869</v>
      </c>
      <c r="G42" s="52">
        <v>-8128</v>
      </c>
      <c r="H42" s="28">
        <v>25045</v>
      </c>
      <c r="I42" s="6">
        <v>-6406</v>
      </c>
      <c r="J42" s="8">
        <v>-1722</v>
      </c>
      <c r="K42" s="6">
        <f>I42+J42</f>
        <v>-8128</v>
      </c>
      <c r="L42" s="24">
        <v>1120</v>
      </c>
      <c r="M42" s="8">
        <v>-4847</v>
      </c>
      <c r="N42" s="8">
        <v>-1320</v>
      </c>
      <c r="O42" s="25">
        <f t="shared" si="14"/>
        <v>-6167</v>
      </c>
      <c r="P42" s="16"/>
    </row>
    <row r="43" spans="1:16" ht="20.100000000000001" customHeight="1">
      <c r="A43" s="8"/>
      <c r="B43" s="30"/>
      <c r="C43" s="30"/>
      <c r="D43" s="5" t="s">
        <v>837</v>
      </c>
      <c r="E43" s="29" t="s">
        <v>792</v>
      </c>
      <c r="F43" s="24">
        <v>12210</v>
      </c>
      <c r="G43" s="52">
        <v>-1570</v>
      </c>
      <c r="H43" s="28">
        <v>12055</v>
      </c>
      <c r="I43" s="6">
        <v>-1555</v>
      </c>
      <c r="J43" s="8">
        <v>-15</v>
      </c>
      <c r="K43" s="6">
        <f>I43+J43</f>
        <v>-1570</v>
      </c>
      <c r="L43" s="24">
        <v>599</v>
      </c>
      <c r="M43" s="8">
        <v>0</v>
      </c>
      <c r="N43" s="8">
        <v>54</v>
      </c>
      <c r="O43" s="25">
        <f t="shared" si="14"/>
        <v>54</v>
      </c>
      <c r="P43" s="16" t="s">
        <v>838</v>
      </c>
    </row>
    <row r="44" spans="1:16" ht="20.100000000000001" customHeight="1">
      <c r="A44" s="8"/>
      <c r="B44" s="688" t="s">
        <v>839</v>
      </c>
      <c r="C44" s="689"/>
      <c r="D44" s="689"/>
      <c r="E44" s="690"/>
      <c r="F44" s="41">
        <f>SUM(F38:F43)</f>
        <v>65045</v>
      </c>
      <c r="G44" s="55">
        <f t="shared" ref="G44:O44" si="15">SUM(G38:G43)</f>
        <v>-11035</v>
      </c>
      <c r="H44" s="43">
        <f t="shared" si="15"/>
        <v>55579</v>
      </c>
      <c r="I44" s="10">
        <f t="shared" si="15"/>
        <v>-9264</v>
      </c>
      <c r="J44" s="9">
        <f t="shared" ref="J44" si="16">SUM(J38:J43)</f>
        <v>-1771</v>
      </c>
      <c r="K44" s="10">
        <f t="shared" ref="K44" si="17">SUM(K38:K43)</f>
        <v>-11035</v>
      </c>
      <c r="L44" s="41">
        <f t="shared" si="15"/>
        <v>8373</v>
      </c>
      <c r="M44" s="9">
        <f t="shared" si="15"/>
        <v>-6222</v>
      </c>
      <c r="N44" s="9">
        <f t="shared" si="15"/>
        <v>-1094</v>
      </c>
      <c r="O44" s="42">
        <f t="shared" si="15"/>
        <v>-7316</v>
      </c>
      <c r="P44" s="20"/>
    </row>
    <row r="45" spans="1:16" ht="20.100000000000001" customHeight="1">
      <c r="A45" s="674" t="s">
        <v>840</v>
      </c>
      <c r="B45" s="675"/>
      <c r="C45" s="675"/>
      <c r="D45" s="675"/>
      <c r="E45" s="676"/>
      <c r="F45" s="682">
        <f>F37+F44</f>
        <v>82643</v>
      </c>
      <c r="G45" s="684">
        <f t="shared" ref="G45:O45" si="18">G37+G44</f>
        <v>-12718</v>
      </c>
      <c r="H45" s="686">
        <f t="shared" si="18"/>
        <v>67064</v>
      </c>
      <c r="I45" s="680">
        <f t="shared" si="18"/>
        <v>-10283</v>
      </c>
      <c r="J45" s="670">
        <f t="shared" ref="J45" si="19">J37+J44</f>
        <v>-2435</v>
      </c>
      <c r="K45" s="680">
        <f t="shared" ref="K45" si="20">K37+K44</f>
        <v>-12718</v>
      </c>
      <c r="L45" s="682">
        <f t="shared" si="18"/>
        <v>12106</v>
      </c>
      <c r="M45" s="670">
        <f t="shared" si="18"/>
        <v>-7471</v>
      </c>
      <c r="N45" s="670">
        <f t="shared" si="18"/>
        <v>-1700</v>
      </c>
      <c r="O45" s="672">
        <f t="shared" si="18"/>
        <v>-9171</v>
      </c>
      <c r="P45" s="16"/>
    </row>
    <row r="46" spans="1:16" ht="20.100000000000001" customHeight="1">
      <c r="A46" s="677"/>
      <c r="B46" s="678"/>
      <c r="C46" s="678"/>
      <c r="D46" s="678"/>
      <c r="E46" s="679"/>
      <c r="F46" s="683"/>
      <c r="G46" s="685"/>
      <c r="H46" s="687"/>
      <c r="I46" s="681"/>
      <c r="J46" s="671"/>
      <c r="K46" s="681"/>
      <c r="L46" s="683"/>
      <c r="M46" s="671"/>
      <c r="N46" s="671"/>
      <c r="O46" s="673"/>
      <c r="P46" s="48"/>
    </row>
    <row r="47" spans="1:16" ht="20.100000000000001" customHeight="1">
      <c r="A47" s="674" t="s">
        <v>841</v>
      </c>
      <c r="B47" s="675"/>
      <c r="C47" s="675"/>
      <c r="D47" s="675"/>
      <c r="E47" s="676"/>
      <c r="F47" s="682">
        <f>F27+F45</f>
        <v>146094</v>
      </c>
      <c r="G47" s="684">
        <f t="shared" ref="G47:O47" si="21">G27+G45</f>
        <v>-18320</v>
      </c>
      <c r="H47" s="686">
        <f t="shared" si="21"/>
        <v>113187</v>
      </c>
      <c r="I47" s="680">
        <f t="shared" si="21"/>
        <v>-14274</v>
      </c>
      <c r="J47" s="670">
        <f t="shared" ref="J47:K47" si="22">J27+J45</f>
        <v>-4045</v>
      </c>
      <c r="K47" s="680">
        <f t="shared" si="22"/>
        <v>-18319</v>
      </c>
      <c r="L47" s="682">
        <f t="shared" si="21"/>
        <v>50268</v>
      </c>
      <c r="M47" s="670">
        <f t="shared" si="21"/>
        <v>-11185</v>
      </c>
      <c r="N47" s="670">
        <f t="shared" si="21"/>
        <v>-2026</v>
      </c>
      <c r="O47" s="672">
        <f t="shared" si="21"/>
        <v>-13211</v>
      </c>
      <c r="P47" s="16"/>
    </row>
    <row r="48" spans="1:16" ht="20.100000000000001" customHeight="1">
      <c r="A48" s="677"/>
      <c r="B48" s="678"/>
      <c r="C48" s="678"/>
      <c r="D48" s="678"/>
      <c r="E48" s="679"/>
      <c r="F48" s="683"/>
      <c r="G48" s="685"/>
      <c r="H48" s="687"/>
      <c r="I48" s="681"/>
      <c r="J48" s="671"/>
      <c r="K48" s="681"/>
      <c r="L48" s="683"/>
      <c r="M48" s="671"/>
      <c r="N48" s="671"/>
      <c r="O48" s="673"/>
      <c r="P48" s="20"/>
    </row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4" customHeight="1"/>
    <row r="159" ht="24" customHeight="1"/>
    <row r="160" ht="24" customHeight="1"/>
    <row r="161" ht="24" customHeight="1"/>
    <row r="162" ht="24" customHeight="1"/>
    <row r="163" ht="24" customHeight="1"/>
    <row r="164" ht="24" customHeight="1"/>
    <row r="165" ht="24" customHeight="1"/>
    <row r="166" ht="24" customHeight="1"/>
    <row r="167" ht="24" customHeight="1"/>
    <row r="168" ht="24" customHeight="1"/>
    <row r="169" ht="24" customHeight="1"/>
    <row r="170" ht="24" customHeight="1"/>
    <row r="171" ht="24" customHeight="1"/>
    <row r="172" ht="24" customHeight="1"/>
    <row r="173" ht="24" customHeight="1"/>
    <row r="174" ht="24" customHeight="1"/>
    <row r="175" ht="24" customHeight="1"/>
    <row r="176" ht="24" customHeight="1"/>
    <row r="177" ht="24" customHeight="1"/>
    <row r="178" ht="24" customHeight="1"/>
    <row r="179" ht="24" customHeight="1"/>
    <row r="180" ht="24" customHeight="1"/>
    <row r="181" ht="24" customHeight="1"/>
    <row r="182" ht="24" customHeight="1"/>
    <row r="183" ht="24" customHeight="1"/>
    <row r="184" ht="24" customHeight="1"/>
    <row r="185" ht="24" customHeight="1"/>
    <row r="186" ht="24" customHeight="1"/>
    <row r="187" ht="24" customHeight="1"/>
    <row r="188" ht="24" customHeight="1"/>
    <row r="189" ht="24" customHeight="1"/>
    <row r="190" ht="24" customHeight="1"/>
    <row r="191" ht="24" customHeight="1"/>
    <row r="192" ht="24" customHeight="1"/>
    <row r="193" ht="24" customHeight="1"/>
    <row r="194" ht="24" customHeight="1"/>
    <row r="195" ht="24" customHeight="1"/>
    <row r="196" ht="24" customHeight="1"/>
    <row r="197" ht="24" customHeight="1"/>
    <row r="198" ht="24" customHeight="1"/>
    <row r="199" ht="24" customHeight="1"/>
    <row r="200" ht="24" customHeight="1"/>
    <row r="201" ht="24" customHeight="1"/>
    <row r="202" ht="24" customHeight="1"/>
    <row r="203" ht="24" customHeight="1"/>
    <row r="204" ht="24" customHeight="1"/>
    <row r="205" ht="24" customHeight="1"/>
    <row r="206" ht="24" customHeight="1"/>
    <row r="207" ht="24" customHeight="1"/>
    <row r="208" ht="24" customHeight="1"/>
  </sheetData>
  <mergeCells count="42">
    <mergeCell ref="F3:F4"/>
    <mergeCell ref="I27:I28"/>
    <mergeCell ref="L3:O3"/>
    <mergeCell ref="B26:E26"/>
    <mergeCell ref="C3:C4"/>
    <mergeCell ref="D3:D4"/>
    <mergeCell ref="B24:E24"/>
    <mergeCell ref="H3:K3"/>
    <mergeCell ref="L27:L28"/>
    <mergeCell ref="M27:M28"/>
    <mergeCell ref="N27:N28"/>
    <mergeCell ref="O27:O28"/>
    <mergeCell ref="B37:E37"/>
    <mergeCell ref="J27:J28"/>
    <mergeCell ref="F27:F28"/>
    <mergeCell ref="G27:G28"/>
    <mergeCell ref="H27:H28"/>
    <mergeCell ref="B44:E44"/>
    <mergeCell ref="A45:E46"/>
    <mergeCell ref="A47:E48"/>
    <mergeCell ref="L47:L48"/>
    <mergeCell ref="J45:J46"/>
    <mergeCell ref="K45:K46"/>
    <mergeCell ref="J47:J48"/>
    <mergeCell ref="K47:K48"/>
    <mergeCell ref="H45:H46"/>
    <mergeCell ref="M47:M48"/>
    <mergeCell ref="N47:N48"/>
    <mergeCell ref="O47:O48"/>
    <mergeCell ref="A27:E28"/>
    <mergeCell ref="I45:I46"/>
    <mergeCell ref="L45:L46"/>
    <mergeCell ref="M45:M46"/>
    <mergeCell ref="N45:N46"/>
    <mergeCell ref="O45:O46"/>
    <mergeCell ref="F47:F48"/>
    <mergeCell ref="G47:G48"/>
    <mergeCell ref="H47:H48"/>
    <mergeCell ref="I47:I48"/>
    <mergeCell ref="F45:F46"/>
    <mergeCell ref="G45:G46"/>
    <mergeCell ref="K27:K28"/>
  </mergeCells>
  <phoneticPr fontId="2"/>
  <pageMargins left="0.78740157480314965" right="0" top="0.39370078740157483" bottom="0" header="0.31496062992125984" footer="0.31496062992125984"/>
  <pageSetup paperSize="8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52F7E-9107-4807-A28B-2C9BC7D17BC1}">
  <sheetPr>
    <pageSetUpPr fitToPage="1"/>
  </sheetPr>
  <dimension ref="A1:G93"/>
  <sheetViews>
    <sheetView tabSelected="1" view="pageBreakPreview" zoomScaleNormal="100" zoomScaleSheetLayoutView="100" workbookViewId="0">
      <selection activeCell="I10" sqref="I10"/>
    </sheetView>
  </sheetViews>
  <sheetFormatPr defaultColWidth="9.109375" defaultRowHeight="12.6"/>
  <cols>
    <col min="1" max="3" width="1.6640625" style="447" customWidth="1"/>
    <col min="4" max="4" width="33.77734375" style="447" customWidth="1"/>
    <col min="5" max="7" width="12.109375" style="447" customWidth="1"/>
    <col min="8" max="16384" width="9.109375" style="447"/>
  </cols>
  <sheetData>
    <row r="1" spans="1:7">
      <c r="A1" s="446"/>
      <c r="B1" s="446"/>
      <c r="C1" s="446"/>
      <c r="D1" s="446"/>
      <c r="E1" s="446"/>
      <c r="F1" s="446"/>
      <c r="G1" s="473" t="s">
        <v>25</v>
      </c>
    </row>
    <row r="2" spans="1:7">
      <c r="A2" s="446" t="s">
        <v>26</v>
      </c>
      <c r="B2" s="446"/>
      <c r="C2" s="446"/>
      <c r="D2" s="454"/>
      <c r="E2" s="451">
        <v>2022.9</v>
      </c>
      <c r="F2" s="452">
        <v>2023.3</v>
      </c>
      <c r="G2" s="451">
        <v>2023.9</v>
      </c>
    </row>
    <row r="3" spans="1:7">
      <c r="A3" s="479"/>
      <c r="B3" s="479"/>
      <c r="C3" s="479"/>
      <c r="D3" s="479"/>
      <c r="F3" s="448"/>
    </row>
    <row r="4" spans="1:7">
      <c r="A4" s="447" t="s">
        <v>27</v>
      </c>
    </row>
    <row r="5" spans="1:7">
      <c r="B5" s="446" t="s">
        <v>28</v>
      </c>
      <c r="C5" s="446"/>
      <c r="D5" s="446"/>
      <c r="E5" s="588">
        <v>399659</v>
      </c>
      <c r="F5" s="587">
        <v>474732</v>
      </c>
      <c r="G5" s="588">
        <v>484136</v>
      </c>
    </row>
    <row r="6" spans="1:7">
      <c r="D6" s="479" t="s">
        <v>29</v>
      </c>
      <c r="E6" s="590">
        <v>91716</v>
      </c>
      <c r="F6" s="589">
        <v>88800</v>
      </c>
      <c r="G6" s="590">
        <v>90885</v>
      </c>
    </row>
    <row r="7" spans="1:7">
      <c r="D7" s="500" t="s">
        <v>30</v>
      </c>
      <c r="E7" s="592">
        <v>230980</v>
      </c>
      <c r="F7" s="591">
        <v>296088</v>
      </c>
      <c r="G7" s="592">
        <v>296119</v>
      </c>
    </row>
    <row r="8" spans="1:7">
      <c r="D8" s="447" t="s">
        <v>31</v>
      </c>
      <c r="E8" s="593">
        <v>30</v>
      </c>
      <c r="F8" s="455">
        <v>30</v>
      </c>
      <c r="G8" s="594" t="s">
        <v>206</v>
      </c>
    </row>
    <row r="9" spans="1:7">
      <c r="D9" s="500" t="s">
        <v>33</v>
      </c>
      <c r="E9" s="592">
        <v>1894</v>
      </c>
      <c r="F9" s="591">
        <v>1894</v>
      </c>
      <c r="G9" s="592">
        <v>1894</v>
      </c>
    </row>
    <row r="10" spans="1:7">
      <c r="D10" s="447" t="s">
        <v>34</v>
      </c>
      <c r="E10" s="593">
        <v>1754</v>
      </c>
      <c r="F10" s="455">
        <v>2341</v>
      </c>
      <c r="G10" s="593">
        <v>2807</v>
      </c>
    </row>
    <row r="11" spans="1:7">
      <c r="D11" s="500" t="s">
        <v>35</v>
      </c>
      <c r="E11" s="592">
        <v>26413</v>
      </c>
      <c r="F11" s="591">
        <v>30003</v>
      </c>
      <c r="G11" s="592">
        <v>41357</v>
      </c>
    </row>
    <row r="12" spans="1:7">
      <c r="D12" s="447" t="s">
        <v>36</v>
      </c>
      <c r="E12" s="593">
        <v>3736</v>
      </c>
      <c r="F12" s="455">
        <v>3815</v>
      </c>
      <c r="G12" s="593">
        <v>4328</v>
      </c>
    </row>
    <row r="13" spans="1:7">
      <c r="D13" s="500" t="s">
        <v>37</v>
      </c>
      <c r="E13" s="594" t="s">
        <v>32</v>
      </c>
      <c r="F13" s="595" t="s">
        <v>32</v>
      </c>
      <c r="G13" s="594" t="s">
        <v>206</v>
      </c>
    </row>
    <row r="14" spans="1:7">
      <c r="D14" s="500" t="s">
        <v>38</v>
      </c>
      <c r="E14" s="592">
        <v>43318</v>
      </c>
      <c r="F14" s="591">
        <v>51900</v>
      </c>
      <c r="G14" s="592">
        <v>46908</v>
      </c>
    </row>
    <row r="15" spans="1:7">
      <c r="B15" s="446"/>
      <c r="C15" s="446"/>
      <c r="D15" s="446" t="s">
        <v>39</v>
      </c>
      <c r="E15" s="587">
        <v>-184</v>
      </c>
      <c r="F15" s="587">
        <v>-140</v>
      </c>
      <c r="G15" s="587">
        <v>-163</v>
      </c>
    </row>
    <row r="16" spans="1:7">
      <c r="B16" s="454" t="s">
        <v>40</v>
      </c>
      <c r="C16" s="454"/>
      <c r="D16" s="454"/>
      <c r="E16" s="596">
        <v>478258</v>
      </c>
      <c r="F16" s="477">
        <v>451805</v>
      </c>
      <c r="G16" s="596">
        <v>494526</v>
      </c>
    </row>
    <row r="17" spans="3:7">
      <c r="C17" s="498" t="s">
        <v>41</v>
      </c>
      <c r="E17" s="597">
        <v>158227</v>
      </c>
      <c r="F17" s="478">
        <v>156264</v>
      </c>
      <c r="G17" s="597">
        <v>156940</v>
      </c>
    </row>
    <row r="18" spans="3:7">
      <c r="D18" s="500" t="s">
        <v>42</v>
      </c>
      <c r="E18" s="598" t="s">
        <v>32</v>
      </c>
      <c r="F18" s="501">
        <v>107958</v>
      </c>
      <c r="G18" s="598" t="s">
        <v>206</v>
      </c>
    </row>
    <row r="19" spans="3:7">
      <c r="D19" s="447" t="s">
        <v>43</v>
      </c>
      <c r="E19" s="600" t="s">
        <v>32</v>
      </c>
      <c r="F19" s="478">
        <v>175106</v>
      </c>
      <c r="G19" s="600" t="s">
        <v>206</v>
      </c>
    </row>
    <row r="20" spans="3:7">
      <c r="D20" s="500" t="s">
        <v>44</v>
      </c>
      <c r="E20" s="598" t="s">
        <v>32</v>
      </c>
      <c r="F20" s="501">
        <v>81241</v>
      </c>
      <c r="G20" s="598" t="s">
        <v>206</v>
      </c>
    </row>
    <row r="21" spans="3:7">
      <c r="D21" s="447" t="s">
        <v>45</v>
      </c>
      <c r="E21" s="600" t="s">
        <v>32</v>
      </c>
      <c r="F21" s="478">
        <v>1513</v>
      </c>
      <c r="G21" s="600" t="s">
        <v>206</v>
      </c>
    </row>
    <row r="22" spans="3:7">
      <c r="D22" s="500" t="s">
        <v>46</v>
      </c>
      <c r="E22" s="598" t="s">
        <v>32</v>
      </c>
      <c r="F22" s="501">
        <v>3850</v>
      </c>
      <c r="G22" s="598" t="s">
        <v>206</v>
      </c>
    </row>
    <row r="23" spans="3:7">
      <c r="D23" s="447" t="s">
        <v>47</v>
      </c>
      <c r="E23" s="600" t="s">
        <v>32</v>
      </c>
      <c r="F23" s="478">
        <v>-213407</v>
      </c>
      <c r="G23" s="600" t="s">
        <v>206</v>
      </c>
    </row>
    <row r="24" spans="3:7">
      <c r="C24" s="506" t="s">
        <v>48</v>
      </c>
      <c r="D24" s="500"/>
      <c r="E24" s="601">
        <v>166237</v>
      </c>
      <c r="F24" s="501">
        <v>159113</v>
      </c>
      <c r="G24" s="601">
        <v>157910</v>
      </c>
    </row>
    <row r="25" spans="3:7">
      <c r="D25" s="447" t="s">
        <v>49</v>
      </c>
      <c r="E25" s="597">
        <v>107653</v>
      </c>
      <c r="F25" s="478">
        <v>105144</v>
      </c>
      <c r="G25" s="597">
        <v>102128</v>
      </c>
    </row>
    <row r="26" spans="3:7">
      <c r="D26" s="500" t="s">
        <v>50</v>
      </c>
      <c r="E26" s="601">
        <v>27969</v>
      </c>
      <c r="F26" s="501">
        <v>27158</v>
      </c>
      <c r="G26" s="601">
        <v>32385</v>
      </c>
    </row>
    <row r="27" spans="3:7">
      <c r="D27" s="447" t="s">
        <v>51</v>
      </c>
      <c r="E27" s="597">
        <v>16525</v>
      </c>
      <c r="F27" s="478">
        <v>13159</v>
      </c>
      <c r="G27" s="597">
        <v>9907</v>
      </c>
    </row>
    <row r="28" spans="3:7">
      <c r="D28" s="500" t="s">
        <v>38</v>
      </c>
      <c r="E28" s="601">
        <v>14089</v>
      </c>
      <c r="F28" s="501">
        <v>13651</v>
      </c>
      <c r="G28" s="601">
        <v>13489</v>
      </c>
    </row>
    <row r="29" spans="3:7">
      <c r="C29" s="506" t="s">
        <v>52</v>
      </c>
      <c r="E29" s="597">
        <v>153794</v>
      </c>
      <c r="F29" s="478">
        <v>136428</v>
      </c>
      <c r="G29" s="597">
        <v>179675</v>
      </c>
    </row>
    <row r="30" spans="3:7">
      <c r="D30" s="500" t="s">
        <v>53</v>
      </c>
      <c r="E30" s="601">
        <v>116630</v>
      </c>
      <c r="F30" s="501">
        <v>100429</v>
      </c>
      <c r="G30" s="601">
        <v>143512</v>
      </c>
    </row>
    <row r="31" spans="3:7">
      <c r="D31" s="447" t="s">
        <v>54</v>
      </c>
      <c r="E31" s="600" t="s">
        <v>32</v>
      </c>
      <c r="F31" s="478">
        <v>267</v>
      </c>
      <c r="G31" s="600" t="s">
        <v>206</v>
      </c>
    </row>
    <row r="32" spans="3:7">
      <c r="D32" s="500" t="s">
        <v>55</v>
      </c>
      <c r="E32" s="598" t="s">
        <v>32</v>
      </c>
      <c r="F32" s="501">
        <v>220</v>
      </c>
      <c r="G32" s="598" t="s">
        <v>206</v>
      </c>
    </row>
    <row r="33" spans="1:7">
      <c r="D33" s="447" t="s">
        <v>56</v>
      </c>
      <c r="E33" s="597">
        <v>1063</v>
      </c>
      <c r="F33" s="478">
        <v>1077</v>
      </c>
      <c r="G33" s="597">
        <v>1213</v>
      </c>
    </row>
    <row r="34" spans="1:7">
      <c r="D34" s="500" t="s">
        <v>57</v>
      </c>
      <c r="E34" s="601">
        <v>15828</v>
      </c>
      <c r="F34" s="501">
        <v>16567</v>
      </c>
      <c r="G34" s="601">
        <v>17301</v>
      </c>
    </row>
    <row r="35" spans="1:7">
      <c r="D35" s="500" t="s">
        <v>38</v>
      </c>
      <c r="E35" s="601">
        <v>20646</v>
      </c>
      <c r="F35" s="501">
        <v>18133</v>
      </c>
      <c r="G35" s="601">
        <v>17917</v>
      </c>
    </row>
    <row r="36" spans="1:7">
      <c r="B36" s="446"/>
      <c r="C36" s="446"/>
      <c r="D36" s="446" t="s">
        <v>39</v>
      </c>
      <c r="E36" s="493">
        <v>-374</v>
      </c>
      <c r="F36" s="493">
        <v>-268</v>
      </c>
      <c r="G36" s="493">
        <v>-269</v>
      </c>
    </row>
    <row r="37" spans="1:7">
      <c r="B37" s="446" t="s">
        <v>849</v>
      </c>
      <c r="C37" s="446"/>
      <c r="D37" s="446"/>
      <c r="E37" s="602">
        <v>27</v>
      </c>
      <c r="F37" s="493">
        <v>24</v>
      </c>
      <c r="G37" s="602">
        <v>47</v>
      </c>
    </row>
    <row r="38" spans="1:7">
      <c r="B38" s="454" t="s">
        <v>58</v>
      </c>
      <c r="C38" s="454"/>
      <c r="D38" s="454"/>
      <c r="E38" s="596">
        <v>877946</v>
      </c>
      <c r="F38" s="477">
        <v>926563</v>
      </c>
      <c r="G38" s="596">
        <v>978710</v>
      </c>
    </row>
    <row r="39" spans="1:7">
      <c r="E39" s="597"/>
      <c r="F39" s="478"/>
      <c r="G39" s="597"/>
    </row>
    <row r="40" spans="1:7">
      <c r="A40" s="447" t="s">
        <v>59</v>
      </c>
      <c r="E40" s="597"/>
      <c r="F40" s="478"/>
      <c r="G40" s="597"/>
    </row>
    <row r="41" spans="1:7">
      <c r="B41" s="446" t="s">
        <v>60</v>
      </c>
      <c r="C41" s="446"/>
      <c r="D41" s="446"/>
      <c r="E41" s="602">
        <v>242961</v>
      </c>
      <c r="F41" s="493">
        <v>298273</v>
      </c>
      <c r="G41" s="602">
        <v>300125</v>
      </c>
    </row>
    <row r="42" spans="1:7">
      <c r="D42" s="479" t="s">
        <v>61</v>
      </c>
      <c r="E42" s="603">
        <v>20641</v>
      </c>
      <c r="F42" s="494">
        <v>25752</v>
      </c>
      <c r="G42" s="603">
        <v>15908</v>
      </c>
    </row>
    <row r="43" spans="1:7">
      <c r="D43" s="500" t="s">
        <v>62</v>
      </c>
      <c r="E43" s="601">
        <v>85512</v>
      </c>
      <c r="F43" s="501">
        <v>116170</v>
      </c>
      <c r="G43" s="601">
        <v>91478</v>
      </c>
    </row>
    <row r="44" spans="1:7">
      <c r="D44" s="447" t="s">
        <v>63</v>
      </c>
      <c r="E44" s="597">
        <v>28729</v>
      </c>
      <c r="F44" s="478">
        <v>36688</v>
      </c>
      <c r="G44" s="597">
        <v>78649</v>
      </c>
    </row>
    <row r="45" spans="1:7">
      <c r="D45" s="500" t="s">
        <v>64</v>
      </c>
      <c r="E45" s="601">
        <v>1116</v>
      </c>
      <c r="F45" s="501">
        <v>922</v>
      </c>
      <c r="G45" s="601">
        <v>724</v>
      </c>
    </row>
    <row r="46" spans="1:7">
      <c r="D46" s="447" t="s">
        <v>65</v>
      </c>
      <c r="E46" s="597">
        <v>10000</v>
      </c>
      <c r="F46" s="599">
        <v>10000</v>
      </c>
      <c r="G46" s="597">
        <v>5000</v>
      </c>
    </row>
    <row r="47" spans="1:7">
      <c r="D47" s="500" t="s">
        <v>66</v>
      </c>
      <c r="E47" s="598" t="s">
        <v>32</v>
      </c>
      <c r="F47" s="501">
        <v>133</v>
      </c>
      <c r="G47" s="598" t="s">
        <v>206</v>
      </c>
    </row>
    <row r="48" spans="1:7">
      <c r="D48" s="447" t="s">
        <v>67</v>
      </c>
      <c r="E48" s="600" t="s">
        <v>32</v>
      </c>
      <c r="F48" s="478">
        <v>8875</v>
      </c>
      <c r="G48" s="600" t="s">
        <v>206</v>
      </c>
    </row>
    <row r="49" spans="2:7">
      <c r="D49" s="500" t="s">
        <v>68</v>
      </c>
      <c r="E49" s="601">
        <v>5796</v>
      </c>
      <c r="F49" s="501">
        <v>10272</v>
      </c>
      <c r="G49" s="601">
        <v>7988</v>
      </c>
    </row>
    <row r="50" spans="2:7">
      <c r="D50" s="447" t="s">
        <v>69</v>
      </c>
      <c r="E50" s="597">
        <v>42344</v>
      </c>
      <c r="F50" s="478">
        <v>37807</v>
      </c>
      <c r="G50" s="597">
        <v>47892</v>
      </c>
    </row>
    <row r="51" spans="2:7">
      <c r="D51" s="500" t="s">
        <v>70</v>
      </c>
      <c r="E51" s="598" t="s">
        <v>32</v>
      </c>
      <c r="F51" s="501">
        <v>154</v>
      </c>
      <c r="G51" s="598" t="s">
        <v>206</v>
      </c>
    </row>
    <row r="52" spans="2:7">
      <c r="D52" s="447" t="s">
        <v>71</v>
      </c>
      <c r="E52" s="600" t="s">
        <v>32</v>
      </c>
      <c r="F52" s="478">
        <v>8264</v>
      </c>
      <c r="G52" s="600" t="s">
        <v>206</v>
      </c>
    </row>
    <row r="53" spans="2:7">
      <c r="D53" s="500" t="s">
        <v>72</v>
      </c>
      <c r="E53" s="598" t="s">
        <v>32</v>
      </c>
      <c r="F53" s="501">
        <v>488</v>
      </c>
      <c r="G53" s="598" t="s">
        <v>206</v>
      </c>
    </row>
    <row r="54" spans="2:7">
      <c r="D54" s="447" t="s">
        <v>73</v>
      </c>
      <c r="E54" s="600" t="s">
        <v>32</v>
      </c>
      <c r="F54" s="599" t="s">
        <v>32</v>
      </c>
      <c r="G54" s="600" t="s">
        <v>206</v>
      </c>
    </row>
    <row r="55" spans="2:7">
      <c r="D55" s="500" t="s">
        <v>74</v>
      </c>
      <c r="E55" s="598" t="s">
        <v>32</v>
      </c>
      <c r="F55" s="501">
        <v>1082</v>
      </c>
      <c r="G55" s="598" t="s">
        <v>206</v>
      </c>
    </row>
    <row r="56" spans="2:7">
      <c r="D56" s="447" t="s">
        <v>75</v>
      </c>
      <c r="E56" s="597">
        <v>497</v>
      </c>
      <c r="F56" s="478">
        <v>342</v>
      </c>
      <c r="G56" s="597">
        <v>313</v>
      </c>
    </row>
    <row r="57" spans="2:7">
      <c r="D57" s="500" t="s">
        <v>76</v>
      </c>
      <c r="E57" s="601">
        <v>4650</v>
      </c>
      <c r="F57" s="501">
        <v>4664</v>
      </c>
      <c r="G57" s="601">
        <v>4691</v>
      </c>
    </row>
    <row r="58" spans="2:7">
      <c r="D58" s="500" t="s">
        <v>77</v>
      </c>
      <c r="E58" s="601">
        <v>564</v>
      </c>
      <c r="F58" s="501">
        <v>1030</v>
      </c>
      <c r="G58" s="601">
        <v>1472</v>
      </c>
    </row>
    <row r="59" spans="2:7">
      <c r="B59" s="446"/>
      <c r="C59" s="446"/>
      <c r="D59" s="446" t="s">
        <v>38</v>
      </c>
      <c r="E59" s="602">
        <v>43108</v>
      </c>
      <c r="F59" s="493">
        <v>35625</v>
      </c>
      <c r="G59" s="602">
        <v>46005</v>
      </c>
    </row>
    <row r="60" spans="2:7">
      <c r="B60" s="446" t="s">
        <v>78</v>
      </c>
      <c r="C60" s="446"/>
      <c r="D60" s="446"/>
      <c r="E60" s="602">
        <v>280651</v>
      </c>
      <c r="F60" s="493">
        <v>265974</v>
      </c>
      <c r="G60" s="602">
        <v>305173</v>
      </c>
    </row>
    <row r="61" spans="2:7">
      <c r="D61" s="479" t="s">
        <v>79</v>
      </c>
      <c r="E61" s="603">
        <v>48000</v>
      </c>
      <c r="F61" s="494">
        <v>48000</v>
      </c>
      <c r="G61" s="603">
        <v>43000</v>
      </c>
    </row>
    <row r="62" spans="2:7">
      <c r="D62" s="500" t="s">
        <v>80</v>
      </c>
      <c r="E62" s="598" t="s">
        <v>32</v>
      </c>
      <c r="F62" s="502" t="s">
        <v>32</v>
      </c>
      <c r="G62" s="598" t="s">
        <v>206</v>
      </c>
    </row>
    <row r="63" spans="2:7">
      <c r="D63" s="447" t="s">
        <v>81</v>
      </c>
      <c r="E63" s="600" t="s">
        <v>32</v>
      </c>
      <c r="F63" s="599" t="s">
        <v>32</v>
      </c>
      <c r="G63" s="600" t="s">
        <v>206</v>
      </c>
    </row>
    <row r="64" spans="2:7">
      <c r="D64" s="500" t="s">
        <v>82</v>
      </c>
      <c r="E64" s="601">
        <v>62312</v>
      </c>
      <c r="F64" s="501">
        <v>54886</v>
      </c>
      <c r="G64" s="601">
        <v>89051</v>
      </c>
    </row>
    <row r="65" spans="1:7">
      <c r="D65" s="447" t="s">
        <v>83</v>
      </c>
      <c r="E65" s="597">
        <v>4222</v>
      </c>
      <c r="F65" s="478">
        <v>3893</v>
      </c>
      <c r="G65" s="597">
        <v>3497</v>
      </c>
    </row>
    <row r="66" spans="1:7">
      <c r="D66" s="500" t="s">
        <v>66</v>
      </c>
      <c r="E66" s="598" t="s">
        <v>32</v>
      </c>
      <c r="F66" s="501">
        <v>413</v>
      </c>
      <c r="G66" s="598" t="s">
        <v>206</v>
      </c>
    </row>
    <row r="67" spans="1:7">
      <c r="D67" s="447" t="s">
        <v>84</v>
      </c>
      <c r="E67" s="597">
        <v>13999</v>
      </c>
      <c r="F67" s="478">
        <v>10018</v>
      </c>
      <c r="G67" s="597">
        <v>16392</v>
      </c>
    </row>
    <row r="68" spans="1:7">
      <c r="D68" s="500" t="s">
        <v>85</v>
      </c>
      <c r="E68" s="601">
        <v>16995</v>
      </c>
      <c r="F68" s="501">
        <v>17055</v>
      </c>
      <c r="G68" s="601">
        <v>17106</v>
      </c>
    </row>
    <row r="69" spans="1:7">
      <c r="D69" s="447" t="s">
        <v>73</v>
      </c>
      <c r="E69" s="600" t="s">
        <v>32</v>
      </c>
      <c r="F69" s="599">
        <v>169</v>
      </c>
      <c r="G69" s="598" t="s">
        <v>206</v>
      </c>
    </row>
    <row r="70" spans="1:7">
      <c r="D70" s="500" t="s">
        <v>86</v>
      </c>
      <c r="E70" s="598" t="s">
        <v>32</v>
      </c>
      <c r="F70" s="502" t="s">
        <v>32</v>
      </c>
      <c r="G70" s="598" t="s">
        <v>206</v>
      </c>
    </row>
    <row r="71" spans="1:7">
      <c r="D71" s="447" t="s">
        <v>87</v>
      </c>
      <c r="E71" s="600" t="s">
        <v>32</v>
      </c>
      <c r="F71" s="599" t="s">
        <v>32</v>
      </c>
      <c r="G71" s="600" t="s">
        <v>206</v>
      </c>
    </row>
    <row r="72" spans="1:7">
      <c r="D72" s="500" t="s">
        <v>76</v>
      </c>
      <c r="E72" s="601">
        <v>101894</v>
      </c>
      <c r="F72" s="501">
        <v>99590</v>
      </c>
      <c r="G72" s="601">
        <v>97268</v>
      </c>
    </row>
    <row r="73" spans="1:7">
      <c r="D73" s="506" t="s">
        <v>77</v>
      </c>
      <c r="E73" s="604">
        <v>29032</v>
      </c>
      <c r="F73" s="508">
        <v>28225</v>
      </c>
      <c r="G73" s="604">
        <v>33782</v>
      </c>
    </row>
    <row r="74" spans="1:7">
      <c r="B74" s="446"/>
      <c r="C74" s="446"/>
      <c r="D74" s="446" t="s">
        <v>38</v>
      </c>
      <c r="E74" s="602">
        <v>4193</v>
      </c>
      <c r="F74" s="493">
        <v>3721</v>
      </c>
      <c r="G74" s="602">
        <v>5074</v>
      </c>
    </row>
    <row r="75" spans="1:7">
      <c r="B75" s="446" t="s">
        <v>88</v>
      </c>
      <c r="C75" s="446"/>
      <c r="D75" s="446"/>
      <c r="E75" s="602">
        <v>523612</v>
      </c>
      <c r="F75" s="493">
        <v>564248</v>
      </c>
      <c r="G75" s="602">
        <v>605298</v>
      </c>
    </row>
    <row r="76" spans="1:7">
      <c r="E76" s="597"/>
      <c r="F76" s="478"/>
      <c r="G76" s="597"/>
    </row>
    <row r="77" spans="1:7">
      <c r="A77" s="447" t="s">
        <v>89</v>
      </c>
      <c r="B77" s="446"/>
      <c r="C77" s="446"/>
      <c r="D77" s="446"/>
      <c r="E77" s="602"/>
      <c r="F77" s="493"/>
      <c r="G77" s="602"/>
    </row>
    <row r="78" spans="1:7">
      <c r="B78" s="446" t="s">
        <v>90</v>
      </c>
      <c r="C78" s="446"/>
      <c r="D78" s="446"/>
      <c r="E78" s="602">
        <v>326971</v>
      </c>
      <c r="F78" s="493">
        <v>342189</v>
      </c>
      <c r="G78" s="602">
        <v>339266</v>
      </c>
    </row>
    <row r="79" spans="1:7">
      <c r="D79" s="479" t="s">
        <v>91</v>
      </c>
      <c r="E79" s="603">
        <v>20000</v>
      </c>
      <c r="F79" s="494">
        <v>20000</v>
      </c>
      <c r="G79" s="603">
        <v>20000</v>
      </c>
    </row>
    <row r="80" spans="1:7">
      <c r="D80" s="535" t="s">
        <v>92</v>
      </c>
      <c r="E80" s="605">
        <v>106349</v>
      </c>
      <c r="F80" s="544">
        <v>106455</v>
      </c>
      <c r="G80" s="605">
        <v>108061</v>
      </c>
    </row>
    <row r="81" spans="1:7">
      <c r="D81" s="506" t="s">
        <v>93</v>
      </c>
      <c r="E81" s="604">
        <v>211551</v>
      </c>
      <c r="F81" s="508">
        <v>234129</v>
      </c>
      <c r="G81" s="604">
        <v>233582</v>
      </c>
    </row>
    <row r="82" spans="1:7">
      <c r="B82" s="446"/>
      <c r="C82" s="446"/>
      <c r="D82" s="446" t="s">
        <v>94</v>
      </c>
      <c r="E82" s="493">
        <v>-10929</v>
      </c>
      <c r="F82" s="493">
        <v>-18395</v>
      </c>
      <c r="G82" s="493">
        <v>-22376</v>
      </c>
    </row>
    <row r="83" spans="1:7">
      <c r="B83" s="446" t="s">
        <v>95</v>
      </c>
      <c r="C83" s="446"/>
      <c r="D83" s="446"/>
      <c r="E83" s="602">
        <v>18000</v>
      </c>
      <c r="F83" s="493">
        <v>10502</v>
      </c>
      <c r="G83" s="602">
        <v>24392</v>
      </c>
    </row>
    <row r="84" spans="1:7">
      <c r="D84" s="479" t="s">
        <v>96</v>
      </c>
      <c r="E84" s="603">
        <v>17163</v>
      </c>
      <c r="F84" s="494">
        <v>9850</v>
      </c>
      <c r="G84" s="603">
        <v>21612</v>
      </c>
    </row>
    <row r="85" spans="1:7">
      <c r="D85" s="500" t="s">
        <v>97</v>
      </c>
      <c r="E85" s="601">
        <v>235</v>
      </c>
      <c r="F85" s="501">
        <v>-453</v>
      </c>
      <c r="G85" s="601">
        <v>1544</v>
      </c>
    </row>
    <row r="86" spans="1:7">
      <c r="D86" s="500" t="s">
        <v>98</v>
      </c>
      <c r="E86" s="501">
        <v>-285</v>
      </c>
      <c r="F86" s="501">
        <v>191</v>
      </c>
      <c r="G86" s="501">
        <v>216</v>
      </c>
    </row>
    <row r="87" spans="1:7">
      <c r="B87" s="446"/>
      <c r="C87" s="446"/>
      <c r="D87" s="446" t="s">
        <v>99</v>
      </c>
      <c r="E87" s="602">
        <v>886</v>
      </c>
      <c r="F87" s="493">
        <v>915</v>
      </c>
      <c r="G87" s="602">
        <v>1018</v>
      </c>
    </row>
    <row r="88" spans="1:7">
      <c r="B88" s="454" t="s">
        <v>100</v>
      </c>
      <c r="C88" s="454"/>
      <c r="D88" s="454"/>
      <c r="E88" s="596">
        <v>9362</v>
      </c>
      <c r="F88" s="477">
        <v>9622</v>
      </c>
      <c r="G88" s="596">
        <v>9752</v>
      </c>
    </row>
    <row r="89" spans="1:7">
      <c r="B89" s="454" t="s">
        <v>101</v>
      </c>
      <c r="C89" s="454"/>
      <c r="D89" s="454"/>
      <c r="E89" s="596">
        <v>354334</v>
      </c>
      <c r="F89" s="477">
        <v>362315</v>
      </c>
      <c r="G89" s="596">
        <v>373412</v>
      </c>
    </row>
    <row r="90" spans="1:7">
      <c r="B90" s="454" t="s">
        <v>102</v>
      </c>
      <c r="C90" s="454"/>
      <c r="D90" s="454"/>
      <c r="E90" s="596">
        <v>877946</v>
      </c>
      <c r="F90" s="477">
        <v>926563</v>
      </c>
      <c r="G90" s="596">
        <v>978710</v>
      </c>
    </row>
    <row r="91" spans="1:7">
      <c r="B91" s="454" t="s">
        <v>103</v>
      </c>
      <c r="C91" s="454"/>
      <c r="D91" s="454"/>
      <c r="E91" s="495">
        <v>0.3929305936869506</v>
      </c>
      <c r="F91" s="495">
        <v>0.38100000000000001</v>
      </c>
      <c r="G91" s="495">
        <v>0.372</v>
      </c>
    </row>
    <row r="92" spans="1:7">
      <c r="F92" s="455"/>
    </row>
    <row r="93" spans="1:7">
      <c r="A93" s="447" t="s">
        <v>226</v>
      </c>
      <c r="C93" s="447" t="s">
        <v>850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68" orientation="portrait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0D543-F7D8-44AB-80EC-DC66BE5AB8E4}">
  <sheetPr>
    <pageSetUpPr fitToPage="1"/>
  </sheetPr>
  <dimension ref="A1:I59"/>
  <sheetViews>
    <sheetView tabSelected="1" view="pageBreakPreview" topLeftCell="A16" zoomScaleNormal="100" zoomScaleSheetLayoutView="100" workbookViewId="0">
      <selection activeCell="I10" sqref="I10"/>
    </sheetView>
  </sheetViews>
  <sheetFormatPr defaultColWidth="9.109375" defaultRowHeight="12.6"/>
  <cols>
    <col min="1" max="3" width="1.6640625" style="447" customWidth="1"/>
    <col min="4" max="4" width="33.77734375" style="447" bestFit="1" customWidth="1"/>
    <col min="5" max="7" width="12.109375" style="447" customWidth="1"/>
    <col min="8" max="8" width="12" style="447" customWidth="1"/>
    <col min="9" max="9" width="12.109375" style="447" customWidth="1"/>
    <col min="10" max="16384" width="9.109375" style="447"/>
  </cols>
  <sheetData>
    <row r="1" spans="1:9">
      <c r="A1" s="446"/>
      <c r="B1" s="446"/>
      <c r="C1" s="446"/>
      <c r="D1" s="446"/>
      <c r="F1" s="473"/>
      <c r="G1" s="473"/>
      <c r="H1" s="473"/>
      <c r="I1" s="473" t="s">
        <v>25</v>
      </c>
    </row>
    <row r="2" spans="1:9">
      <c r="A2" s="446" t="s">
        <v>26</v>
      </c>
      <c r="B2" s="446"/>
      <c r="C2" s="446"/>
      <c r="D2" s="446"/>
      <c r="E2" s="451">
        <v>2023.9</v>
      </c>
      <c r="F2" s="452">
        <v>2024.3</v>
      </c>
      <c r="G2" s="451">
        <v>2024.9</v>
      </c>
      <c r="H2" s="452">
        <v>2025.3</v>
      </c>
      <c r="I2" s="451">
        <v>2025.9</v>
      </c>
    </row>
    <row r="3" spans="1:9">
      <c r="E3" s="453"/>
      <c r="F3" s="453"/>
      <c r="G3" s="453"/>
      <c r="H3" s="453"/>
      <c r="I3" s="453"/>
    </row>
    <row r="4" spans="1:9">
      <c r="A4" s="447" t="s">
        <v>27</v>
      </c>
    </row>
    <row r="5" spans="1:9">
      <c r="B5" s="446" t="s">
        <v>28</v>
      </c>
      <c r="C5" s="446"/>
      <c r="D5" s="446"/>
      <c r="E5" s="539">
        <v>464572</v>
      </c>
      <c r="F5" s="539">
        <v>551036</v>
      </c>
      <c r="G5" s="539">
        <v>496789</v>
      </c>
      <c r="H5" s="539">
        <v>600859</v>
      </c>
      <c r="I5" s="539">
        <v>873265</v>
      </c>
    </row>
    <row r="6" spans="1:9">
      <c r="D6" s="498" t="s">
        <v>104</v>
      </c>
      <c r="E6" s="540">
        <v>92959</v>
      </c>
      <c r="F6" s="540">
        <v>113421</v>
      </c>
      <c r="G6" s="540">
        <v>117030</v>
      </c>
      <c r="H6" s="540">
        <v>119502</v>
      </c>
      <c r="I6" s="540">
        <v>176970</v>
      </c>
    </row>
    <row r="7" spans="1:9">
      <c r="D7" s="500" t="s">
        <v>105</v>
      </c>
      <c r="E7" s="541">
        <v>103858</v>
      </c>
      <c r="F7" s="541">
        <v>145514</v>
      </c>
      <c r="G7" s="541">
        <v>87576</v>
      </c>
      <c r="H7" s="541">
        <v>150755</v>
      </c>
      <c r="I7" s="541">
        <v>198858</v>
      </c>
    </row>
    <row r="8" spans="1:9">
      <c r="D8" s="500" t="s">
        <v>106</v>
      </c>
      <c r="E8" s="541">
        <v>218014</v>
      </c>
      <c r="F8" s="541">
        <v>245485</v>
      </c>
      <c r="G8" s="541">
        <v>238261</v>
      </c>
      <c r="H8" s="541">
        <v>230141</v>
      </c>
      <c r="I8" s="541">
        <v>381874</v>
      </c>
    </row>
    <row r="9" spans="1:9">
      <c r="D9" s="500" t="s">
        <v>107</v>
      </c>
      <c r="E9" s="541">
        <v>11139</v>
      </c>
      <c r="F9" s="541">
        <v>12575</v>
      </c>
      <c r="G9" s="541">
        <v>14168</v>
      </c>
      <c r="H9" s="541">
        <v>12810</v>
      </c>
      <c r="I9" s="541">
        <v>17300</v>
      </c>
    </row>
    <row r="10" spans="1:9">
      <c r="D10" s="500" t="s">
        <v>108</v>
      </c>
      <c r="E10" s="541">
        <v>3815</v>
      </c>
      <c r="F10" s="541">
        <v>4447</v>
      </c>
      <c r="G10" s="541">
        <v>4997</v>
      </c>
      <c r="H10" s="541">
        <v>5622</v>
      </c>
      <c r="I10" s="541">
        <v>8716</v>
      </c>
    </row>
    <row r="11" spans="1:9">
      <c r="D11" s="500" t="s">
        <v>109</v>
      </c>
      <c r="E11" s="541">
        <v>34786</v>
      </c>
      <c r="F11" s="541">
        <v>29592</v>
      </c>
      <c r="G11" s="541">
        <v>34754</v>
      </c>
      <c r="H11" s="541">
        <v>32338</v>
      </c>
      <c r="I11" s="541">
        <v>75009</v>
      </c>
    </row>
    <row r="12" spans="1:9">
      <c r="D12" s="500" t="s">
        <v>110</v>
      </c>
      <c r="E12" s="525" t="s">
        <v>206</v>
      </c>
      <c r="F12" s="525" t="s">
        <v>206</v>
      </c>
      <c r="G12" s="525" t="s">
        <v>206</v>
      </c>
      <c r="H12" s="525">
        <v>49689</v>
      </c>
      <c r="I12" s="525">
        <v>14536</v>
      </c>
    </row>
    <row r="13" spans="1:9">
      <c r="B13" s="454" t="s">
        <v>111</v>
      </c>
      <c r="C13" s="454"/>
      <c r="D13" s="454"/>
      <c r="E13" s="542">
        <v>557074</v>
      </c>
      <c r="F13" s="542">
        <v>859520</v>
      </c>
      <c r="G13" s="542">
        <v>866804</v>
      </c>
      <c r="H13" s="542">
        <v>849878</v>
      </c>
      <c r="I13" s="542">
        <v>952097</v>
      </c>
    </row>
    <row r="14" spans="1:9">
      <c r="D14" s="498" t="s">
        <v>112</v>
      </c>
      <c r="E14" s="540">
        <v>181376</v>
      </c>
      <c r="F14" s="540">
        <v>217564</v>
      </c>
      <c r="G14" s="540">
        <v>220511</v>
      </c>
      <c r="H14" s="540">
        <v>222507</v>
      </c>
      <c r="I14" s="540">
        <v>262775</v>
      </c>
    </row>
    <row r="15" spans="1:9">
      <c r="D15" s="500" t="s">
        <v>113</v>
      </c>
      <c r="E15" s="541">
        <v>17522</v>
      </c>
      <c r="F15" s="541">
        <v>18107</v>
      </c>
      <c r="G15" s="541">
        <v>19502</v>
      </c>
      <c r="H15" s="541">
        <v>18985</v>
      </c>
      <c r="I15" s="541">
        <v>34686</v>
      </c>
    </row>
    <row r="16" spans="1:9">
      <c r="D16" s="500" t="s">
        <v>114</v>
      </c>
      <c r="E16" s="541">
        <v>19933</v>
      </c>
      <c r="F16" s="541">
        <v>159046</v>
      </c>
      <c r="G16" s="541">
        <v>159046</v>
      </c>
      <c r="H16" s="541">
        <v>158642</v>
      </c>
      <c r="I16" s="541">
        <v>182350</v>
      </c>
    </row>
    <row r="17" spans="1:9">
      <c r="D17" s="500" t="s">
        <v>115</v>
      </c>
      <c r="E17" s="541">
        <v>152272</v>
      </c>
      <c r="F17" s="541">
        <v>243007</v>
      </c>
      <c r="G17" s="541">
        <v>249039</v>
      </c>
      <c r="H17" s="541">
        <v>234338</v>
      </c>
      <c r="I17" s="541">
        <v>232637</v>
      </c>
    </row>
    <row r="18" spans="1:9">
      <c r="D18" s="500" t="s">
        <v>116</v>
      </c>
      <c r="E18" s="541">
        <v>25194</v>
      </c>
      <c r="F18" s="541">
        <v>26752</v>
      </c>
      <c r="G18" s="541">
        <v>27635</v>
      </c>
      <c r="H18" s="541">
        <v>28898</v>
      </c>
      <c r="I18" s="541">
        <v>30571</v>
      </c>
    </row>
    <row r="19" spans="1:9">
      <c r="D19" s="500" t="s">
        <v>117</v>
      </c>
      <c r="E19" s="541">
        <v>19383</v>
      </c>
      <c r="F19" s="541">
        <v>22470</v>
      </c>
      <c r="G19" s="541">
        <v>23821</v>
      </c>
      <c r="H19" s="541">
        <v>25732</v>
      </c>
      <c r="I19" s="541">
        <v>13230</v>
      </c>
    </row>
    <row r="20" spans="1:9">
      <c r="D20" s="500" t="s">
        <v>108</v>
      </c>
      <c r="E20" s="541">
        <v>126957</v>
      </c>
      <c r="F20" s="541">
        <v>149603</v>
      </c>
      <c r="G20" s="541">
        <v>138970</v>
      </c>
      <c r="H20" s="541">
        <v>134375</v>
      </c>
      <c r="I20" s="541">
        <v>168281</v>
      </c>
    </row>
    <row r="21" spans="1:9">
      <c r="D21" s="500" t="s">
        <v>118</v>
      </c>
      <c r="E21" s="541">
        <v>1221</v>
      </c>
      <c r="F21" s="541">
        <v>955</v>
      </c>
      <c r="G21" s="541">
        <v>1225</v>
      </c>
      <c r="H21" s="541">
        <v>2000</v>
      </c>
      <c r="I21" s="541">
        <v>1941</v>
      </c>
    </row>
    <row r="22" spans="1:9">
      <c r="D22" s="500" t="s">
        <v>57</v>
      </c>
      <c r="E22" s="525" t="s">
        <v>206</v>
      </c>
      <c r="F22" s="525" t="s">
        <v>206</v>
      </c>
      <c r="G22" s="525" t="s">
        <v>206</v>
      </c>
      <c r="H22" s="525" t="s">
        <v>206</v>
      </c>
      <c r="I22" s="525" t="s">
        <v>206</v>
      </c>
    </row>
    <row r="23" spans="1:9">
      <c r="D23" s="500" t="s">
        <v>119</v>
      </c>
      <c r="E23" s="541">
        <v>13212</v>
      </c>
      <c r="F23" s="541">
        <v>22013</v>
      </c>
      <c r="G23" s="541">
        <v>27051</v>
      </c>
      <c r="H23" s="541">
        <v>24396</v>
      </c>
      <c r="I23" s="541">
        <v>25621</v>
      </c>
    </row>
    <row r="24" spans="1:9">
      <c r="B24" s="454" t="s">
        <v>58</v>
      </c>
      <c r="C24" s="454"/>
      <c r="D24" s="454"/>
      <c r="E24" s="542">
        <v>1021647</v>
      </c>
      <c r="F24" s="542">
        <v>1410557</v>
      </c>
      <c r="G24" s="542">
        <v>1363593</v>
      </c>
      <c r="H24" s="542">
        <v>1450738</v>
      </c>
      <c r="I24" s="542">
        <v>1825363</v>
      </c>
    </row>
    <row r="25" spans="1:9">
      <c r="D25" s="479"/>
      <c r="E25" s="478"/>
      <c r="F25" s="478"/>
      <c r="G25" s="478"/>
      <c r="H25" s="478"/>
      <c r="I25" s="478"/>
    </row>
    <row r="26" spans="1:9">
      <c r="A26" s="447" t="s">
        <v>59</v>
      </c>
      <c r="E26" s="478"/>
      <c r="F26" s="478"/>
      <c r="G26" s="478"/>
      <c r="H26" s="478"/>
      <c r="I26" s="478"/>
    </row>
    <row r="27" spans="1:9">
      <c r="B27" s="446" t="s">
        <v>60</v>
      </c>
      <c r="C27" s="446"/>
      <c r="D27" s="446"/>
      <c r="E27" s="539">
        <v>405991</v>
      </c>
      <c r="F27" s="539">
        <v>729294</v>
      </c>
      <c r="G27" s="539">
        <v>460684</v>
      </c>
      <c r="H27" s="539">
        <v>450897</v>
      </c>
      <c r="I27" s="539">
        <v>693926</v>
      </c>
    </row>
    <row r="28" spans="1:9">
      <c r="D28" s="498" t="s">
        <v>120</v>
      </c>
      <c r="E28" s="540">
        <v>230099</v>
      </c>
      <c r="F28" s="540">
        <v>273792</v>
      </c>
      <c r="G28" s="540">
        <v>234947</v>
      </c>
      <c r="H28" s="540">
        <v>272222</v>
      </c>
      <c r="I28" s="540">
        <v>327534</v>
      </c>
    </row>
    <row r="29" spans="1:9">
      <c r="D29" s="538" t="s">
        <v>843</v>
      </c>
      <c r="E29" s="543">
        <v>40652</v>
      </c>
      <c r="F29" s="543">
        <v>54162</v>
      </c>
      <c r="G29" s="543">
        <v>53806</v>
      </c>
      <c r="H29" s="543">
        <v>49113</v>
      </c>
      <c r="I29" s="543">
        <v>105377</v>
      </c>
    </row>
    <row r="30" spans="1:9">
      <c r="D30" s="500" t="s">
        <v>121</v>
      </c>
      <c r="E30" s="541">
        <v>89345</v>
      </c>
      <c r="F30" s="541">
        <v>342063</v>
      </c>
      <c r="G30" s="541">
        <v>123767</v>
      </c>
      <c r="H30" s="541">
        <v>60179</v>
      </c>
      <c r="I30" s="541">
        <v>158441</v>
      </c>
    </row>
    <row r="31" spans="1:9">
      <c r="D31" s="500" t="s">
        <v>122</v>
      </c>
      <c r="E31" s="541">
        <v>8714</v>
      </c>
      <c r="F31" s="541">
        <v>9328</v>
      </c>
      <c r="G31" s="541">
        <v>9354</v>
      </c>
      <c r="H31" s="541">
        <v>8982</v>
      </c>
      <c r="I31" s="541">
        <v>16191</v>
      </c>
    </row>
    <row r="32" spans="1:9">
      <c r="D32" s="500" t="s">
        <v>123</v>
      </c>
      <c r="E32" s="541">
        <v>8009</v>
      </c>
      <c r="F32" s="541">
        <v>11873</v>
      </c>
      <c r="G32" s="541">
        <v>4580</v>
      </c>
      <c r="H32" s="541">
        <v>16598</v>
      </c>
      <c r="I32" s="541">
        <v>9514</v>
      </c>
    </row>
    <row r="33" spans="1:9">
      <c r="D33" s="500" t="s">
        <v>124</v>
      </c>
      <c r="E33" s="525">
        <v>5525</v>
      </c>
      <c r="F33" s="525">
        <v>5428</v>
      </c>
      <c r="G33" s="525">
        <v>5342</v>
      </c>
      <c r="H33" s="525">
        <v>5175</v>
      </c>
      <c r="I33" s="525">
        <v>23467</v>
      </c>
    </row>
    <row r="34" spans="1:9">
      <c r="D34" s="500" t="s">
        <v>125</v>
      </c>
      <c r="E34" s="541">
        <v>2824</v>
      </c>
      <c r="F34" s="541">
        <v>5543</v>
      </c>
      <c r="G34" s="541">
        <v>4407</v>
      </c>
      <c r="H34" s="541">
        <v>3846</v>
      </c>
      <c r="I34" s="541">
        <v>11094</v>
      </c>
    </row>
    <row r="35" spans="1:9">
      <c r="D35" s="500" t="s">
        <v>126</v>
      </c>
      <c r="E35" s="541">
        <v>20820</v>
      </c>
      <c r="F35" s="541">
        <v>27102</v>
      </c>
      <c r="G35" s="541">
        <v>24477</v>
      </c>
      <c r="H35" s="541">
        <v>28518</v>
      </c>
      <c r="I35" s="541">
        <v>42304</v>
      </c>
    </row>
    <row r="36" spans="1:9">
      <c r="D36" s="500" t="s">
        <v>127</v>
      </c>
      <c r="E36" s="525" t="s">
        <v>206</v>
      </c>
      <c r="F36" s="525" t="s">
        <v>206</v>
      </c>
      <c r="G36" s="525" t="s">
        <v>206</v>
      </c>
      <c r="H36" s="525">
        <v>6259</v>
      </c>
      <c r="I36" s="525" t="s">
        <v>206</v>
      </c>
    </row>
    <row r="37" spans="1:9">
      <c r="B37" s="446" t="s">
        <v>128</v>
      </c>
      <c r="C37" s="446"/>
      <c r="D37" s="446"/>
      <c r="E37" s="539">
        <v>224950</v>
      </c>
      <c r="F37" s="539">
        <v>262089</v>
      </c>
      <c r="G37" s="539">
        <v>388430</v>
      </c>
      <c r="H37" s="539">
        <v>456986</v>
      </c>
      <c r="I37" s="539">
        <v>553643</v>
      </c>
    </row>
    <row r="38" spans="1:9">
      <c r="D38" s="498" t="s">
        <v>129</v>
      </c>
      <c r="E38" s="540">
        <v>138317</v>
      </c>
      <c r="F38" s="540">
        <v>139482</v>
      </c>
      <c r="G38" s="540">
        <v>265207</v>
      </c>
      <c r="H38" s="540">
        <v>335001</v>
      </c>
      <c r="I38" s="540">
        <v>400513</v>
      </c>
    </row>
    <row r="39" spans="1:9">
      <c r="D39" s="500" t="s">
        <v>122</v>
      </c>
      <c r="E39" s="525">
        <v>13129</v>
      </c>
      <c r="F39" s="525">
        <v>13408</v>
      </c>
      <c r="G39" s="525">
        <v>14654</v>
      </c>
      <c r="H39" s="525">
        <v>14520</v>
      </c>
      <c r="I39" s="525">
        <v>23994</v>
      </c>
    </row>
    <row r="40" spans="1:9">
      <c r="D40" s="500" t="s">
        <v>124</v>
      </c>
      <c r="E40" s="525">
        <v>4258</v>
      </c>
      <c r="F40" s="525">
        <v>2524</v>
      </c>
      <c r="G40" s="525">
        <v>2249</v>
      </c>
      <c r="H40" s="525">
        <v>1799</v>
      </c>
      <c r="I40" s="525">
        <v>1836</v>
      </c>
    </row>
    <row r="41" spans="1:9">
      <c r="D41" s="500" t="s">
        <v>130</v>
      </c>
      <c r="E41" s="541">
        <v>16199</v>
      </c>
      <c r="F41" s="541">
        <v>15599</v>
      </c>
      <c r="G41" s="541">
        <v>15560</v>
      </c>
      <c r="H41" s="541">
        <v>15044</v>
      </c>
      <c r="I41" s="541">
        <v>30968</v>
      </c>
    </row>
    <row r="42" spans="1:9">
      <c r="D42" s="500" t="s">
        <v>125</v>
      </c>
      <c r="E42" s="541">
        <v>34706</v>
      </c>
      <c r="F42" s="541">
        <v>36355</v>
      </c>
      <c r="G42" s="541">
        <v>38236</v>
      </c>
      <c r="H42" s="541">
        <v>37238</v>
      </c>
      <c r="I42" s="541">
        <v>37743</v>
      </c>
    </row>
    <row r="43" spans="1:9">
      <c r="D43" s="500" t="s">
        <v>131</v>
      </c>
      <c r="E43" s="541">
        <v>17985</v>
      </c>
      <c r="F43" s="541">
        <v>54344</v>
      </c>
      <c r="G43" s="541">
        <v>52112</v>
      </c>
      <c r="H43" s="541">
        <v>53019</v>
      </c>
      <c r="I43" s="541">
        <v>57761</v>
      </c>
    </row>
    <row r="44" spans="1:9">
      <c r="D44" s="500" t="s">
        <v>132</v>
      </c>
      <c r="E44" s="541">
        <v>354</v>
      </c>
      <c r="F44" s="541">
        <v>375</v>
      </c>
      <c r="G44" s="541">
        <v>410</v>
      </c>
      <c r="H44" s="541">
        <v>360</v>
      </c>
      <c r="I44" s="541">
        <v>824</v>
      </c>
    </row>
    <row r="45" spans="1:9">
      <c r="B45" s="446" t="s">
        <v>88</v>
      </c>
      <c r="C45" s="446"/>
      <c r="D45" s="446"/>
      <c r="E45" s="539">
        <v>630942</v>
      </c>
      <c r="F45" s="539">
        <v>991383</v>
      </c>
      <c r="G45" s="539">
        <v>849115</v>
      </c>
      <c r="H45" s="539">
        <v>907883</v>
      </c>
      <c r="I45" s="539">
        <v>1247569</v>
      </c>
    </row>
    <row r="46" spans="1:9">
      <c r="E46" s="478"/>
      <c r="F46" s="478"/>
      <c r="G46" s="478"/>
      <c r="H46" s="478"/>
      <c r="I46" s="478"/>
    </row>
    <row r="47" spans="1:9">
      <c r="A47" s="447" t="s">
        <v>133</v>
      </c>
      <c r="B47" s="446"/>
      <c r="C47" s="446"/>
      <c r="D47" s="446"/>
      <c r="E47" s="493"/>
      <c r="F47" s="493"/>
      <c r="G47" s="493"/>
      <c r="H47" s="493"/>
      <c r="I47" s="493"/>
    </row>
    <row r="48" spans="1:9">
      <c r="B48" s="446" t="s">
        <v>134</v>
      </c>
      <c r="C48" s="446"/>
      <c r="D48" s="446"/>
      <c r="E48" s="493"/>
      <c r="F48" s="493"/>
      <c r="G48" s="493"/>
      <c r="H48" s="493"/>
      <c r="I48" s="493"/>
    </row>
    <row r="49" spans="2:9">
      <c r="D49" s="498" t="s">
        <v>135</v>
      </c>
      <c r="E49" s="499">
        <v>20000</v>
      </c>
      <c r="F49" s="499">
        <v>20000</v>
      </c>
      <c r="G49" s="499">
        <v>20000</v>
      </c>
      <c r="H49" s="499">
        <v>20000</v>
      </c>
      <c r="I49" s="499">
        <v>20000</v>
      </c>
    </row>
    <row r="50" spans="2:9">
      <c r="D50" s="500" t="s">
        <v>136</v>
      </c>
      <c r="E50" s="501">
        <v>109293</v>
      </c>
      <c r="F50" s="501">
        <v>111467</v>
      </c>
      <c r="G50" s="501">
        <v>212698</v>
      </c>
      <c r="H50" s="501">
        <v>214289</v>
      </c>
      <c r="I50" s="501">
        <v>211292</v>
      </c>
    </row>
    <row r="51" spans="2:9">
      <c r="D51" s="500" t="s">
        <v>137</v>
      </c>
      <c r="E51" s="501">
        <v>-22376</v>
      </c>
      <c r="F51" s="501">
        <v>-28626</v>
      </c>
      <c r="G51" s="501">
        <v>-27689</v>
      </c>
      <c r="H51" s="501">
        <v>-27043</v>
      </c>
      <c r="I51" s="501">
        <v>-21888</v>
      </c>
    </row>
    <row r="52" spans="2:9">
      <c r="D52" s="535" t="s">
        <v>138</v>
      </c>
      <c r="E52" s="544">
        <v>244643</v>
      </c>
      <c r="F52" s="544">
        <v>255671</v>
      </c>
      <c r="G52" s="544">
        <v>254591</v>
      </c>
      <c r="H52" s="544">
        <v>278544</v>
      </c>
      <c r="I52" s="544">
        <v>297919</v>
      </c>
    </row>
    <row r="53" spans="2:9">
      <c r="D53" s="535" t="s">
        <v>139</v>
      </c>
      <c r="E53" s="544">
        <v>24697</v>
      </c>
      <c r="F53" s="544">
        <v>41411</v>
      </c>
      <c r="G53" s="544">
        <v>34364</v>
      </c>
      <c r="H53" s="544">
        <v>33348</v>
      </c>
      <c r="I53" s="544">
        <v>39830</v>
      </c>
    </row>
    <row r="54" spans="2:9">
      <c r="C54" s="447" t="s">
        <v>140</v>
      </c>
      <c r="D54" s="535"/>
      <c r="E54" s="544">
        <v>376293</v>
      </c>
      <c r="F54" s="544">
        <v>399923</v>
      </c>
      <c r="G54" s="544">
        <v>493965</v>
      </c>
      <c r="H54" s="544">
        <v>519139</v>
      </c>
      <c r="I54" s="544">
        <v>547154</v>
      </c>
    </row>
    <row r="55" spans="2:9">
      <c r="B55" s="454"/>
      <c r="C55" s="454" t="s">
        <v>141</v>
      </c>
      <c r="D55" s="454"/>
      <c r="E55" s="477">
        <v>14450</v>
      </c>
      <c r="F55" s="477">
        <v>19249</v>
      </c>
      <c r="G55" s="477">
        <v>20513</v>
      </c>
      <c r="H55" s="477">
        <v>23715</v>
      </c>
      <c r="I55" s="477">
        <v>30638</v>
      </c>
    </row>
    <row r="56" spans="2:9">
      <c r="B56" s="454" t="s">
        <v>142</v>
      </c>
      <c r="C56" s="454"/>
      <c r="D56" s="454"/>
      <c r="E56" s="477">
        <v>390704</v>
      </c>
      <c r="F56" s="477">
        <v>419173</v>
      </c>
      <c r="G56" s="477">
        <v>514478</v>
      </c>
      <c r="H56" s="477">
        <v>542854</v>
      </c>
      <c r="I56" s="477">
        <v>577793</v>
      </c>
    </row>
    <row r="57" spans="2:9">
      <c r="B57" s="454" t="s">
        <v>143</v>
      </c>
      <c r="C57" s="454"/>
      <c r="D57" s="454"/>
      <c r="E57" s="477">
        <v>1021647</v>
      </c>
      <c r="F57" s="477">
        <v>1410557</v>
      </c>
      <c r="G57" s="477">
        <v>1363593</v>
      </c>
      <c r="H57" s="477">
        <v>1450738</v>
      </c>
      <c r="I57" s="477">
        <v>1825363</v>
      </c>
    </row>
    <row r="58" spans="2:9">
      <c r="B58" s="454" t="s">
        <v>103</v>
      </c>
      <c r="C58" s="454"/>
      <c r="D58" s="454"/>
      <c r="E58" s="607">
        <v>0.36799999999999999</v>
      </c>
      <c r="F58" s="606">
        <v>0.28399999999999997</v>
      </c>
      <c r="G58" s="495">
        <v>0.36199999999999999</v>
      </c>
      <c r="H58" s="495">
        <v>0.35799999999999998</v>
      </c>
      <c r="I58" s="495">
        <v>0.3</v>
      </c>
    </row>
    <row r="59" spans="2:9">
      <c r="E59" s="478"/>
      <c r="H59" s="478"/>
    </row>
  </sheetData>
  <phoneticPr fontId="2"/>
  <pageMargins left="0.70866141732283472" right="0.70866141732283472" top="0.74803149606299213" bottom="0.74803149606299213" header="0.31496062992125984" footer="0.31496062992125984"/>
  <pageSetup paperSize="9" scale="89" orientation="portrait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8D129-73C2-4B70-B227-F41D527BFCB0}">
  <sheetPr>
    <pageSetUpPr fitToPage="1"/>
  </sheetPr>
  <dimension ref="A1:F38"/>
  <sheetViews>
    <sheetView tabSelected="1" view="pageBreakPreview" zoomScaleNormal="100" zoomScaleSheetLayoutView="100" workbookViewId="0">
      <selection activeCell="I10" sqref="I10"/>
    </sheetView>
  </sheetViews>
  <sheetFormatPr defaultColWidth="10.88671875" defaultRowHeight="12.6"/>
  <cols>
    <col min="1" max="2" width="1.6640625" style="447" customWidth="1"/>
    <col min="3" max="3" width="24.77734375" style="447" customWidth="1"/>
    <col min="4" max="6" width="12.109375" style="447" customWidth="1"/>
    <col min="7" max="16384" width="10.88671875" style="447"/>
  </cols>
  <sheetData>
    <row r="1" spans="1:6">
      <c r="A1" s="446"/>
      <c r="B1" s="446"/>
      <c r="C1" s="446"/>
      <c r="D1" s="446"/>
      <c r="E1" s="446"/>
      <c r="F1" s="473" t="s">
        <v>228</v>
      </c>
    </row>
    <row r="2" spans="1:6">
      <c r="A2" s="446" t="s">
        <v>26</v>
      </c>
      <c r="B2" s="446"/>
      <c r="C2" s="454"/>
      <c r="D2" s="451">
        <v>2022.9</v>
      </c>
      <c r="E2" s="452">
        <v>2023.3</v>
      </c>
      <c r="F2" s="451">
        <v>2023.9</v>
      </c>
    </row>
    <row r="3" spans="1:6">
      <c r="A3" s="479"/>
      <c r="B3" s="479"/>
      <c r="C3" s="479"/>
      <c r="D3" s="479"/>
      <c r="E3" s="448"/>
      <c r="F3" s="479"/>
    </row>
    <row r="4" spans="1:6">
      <c r="B4" s="506" t="s">
        <v>144</v>
      </c>
      <c r="C4" s="507"/>
      <c r="D4" s="509">
        <v>313490</v>
      </c>
      <c r="E4" s="508">
        <v>709641</v>
      </c>
      <c r="F4" s="509">
        <v>353124</v>
      </c>
    </row>
    <row r="5" spans="1:6">
      <c r="B5" s="500" t="s">
        <v>145</v>
      </c>
      <c r="C5" s="510"/>
      <c r="D5" s="501">
        <v>42824</v>
      </c>
      <c r="E5" s="501">
        <v>98124</v>
      </c>
      <c r="F5" s="501">
        <v>51298</v>
      </c>
    </row>
    <row r="6" spans="1:6">
      <c r="B6" s="500"/>
      <c r="C6" s="510" t="s">
        <v>146</v>
      </c>
      <c r="D6" s="511">
        <v>0.13700000000000001</v>
      </c>
      <c r="E6" s="511">
        <v>0.13800000000000001</v>
      </c>
      <c r="F6" s="511">
        <v>0.14499999999999999</v>
      </c>
    </row>
    <row r="7" spans="1:6">
      <c r="B7" s="506" t="s">
        <v>147</v>
      </c>
      <c r="C7" s="507"/>
      <c r="D7" s="508">
        <v>28130</v>
      </c>
      <c r="E7" s="508">
        <v>57628</v>
      </c>
      <c r="F7" s="508">
        <v>31380</v>
      </c>
    </row>
    <row r="8" spans="1:6">
      <c r="B8" s="500" t="s">
        <v>148</v>
      </c>
      <c r="C8" s="510"/>
      <c r="D8" s="501">
        <v>14693</v>
      </c>
      <c r="E8" s="501">
        <v>40495</v>
      </c>
      <c r="F8" s="501">
        <v>19917</v>
      </c>
    </row>
    <row r="9" spans="1:6">
      <c r="B9" s="446"/>
      <c r="C9" s="608" t="s">
        <v>149</v>
      </c>
      <c r="D9" s="609">
        <v>4.7E-2</v>
      </c>
      <c r="E9" s="609">
        <v>5.7000000000000002E-2</v>
      </c>
      <c r="F9" s="609">
        <v>5.6000000000000001E-2</v>
      </c>
    </row>
    <row r="10" spans="1:6">
      <c r="C10" s="486"/>
      <c r="D10" s="610"/>
      <c r="E10" s="610"/>
      <c r="F10" s="466"/>
    </row>
    <row r="11" spans="1:6">
      <c r="B11" s="506" t="s">
        <v>150</v>
      </c>
      <c r="C11" s="507"/>
      <c r="D11" s="508">
        <v>2959</v>
      </c>
      <c r="E11" s="508">
        <v>4264</v>
      </c>
      <c r="F11" s="508">
        <v>2343</v>
      </c>
    </row>
    <row r="12" spans="1:6">
      <c r="B12" s="500"/>
      <c r="C12" s="510" t="s">
        <v>151</v>
      </c>
      <c r="D12" s="501">
        <v>126</v>
      </c>
      <c r="E12" s="501">
        <v>241</v>
      </c>
      <c r="F12" s="501">
        <v>150</v>
      </c>
    </row>
    <row r="13" spans="1:6">
      <c r="B13" s="500"/>
      <c r="C13" s="510" t="s">
        <v>152</v>
      </c>
      <c r="D13" s="501">
        <v>1218</v>
      </c>
      <c r="E13" s="501">
        <v>2193</v>
      </c>
      <c r="F13" s="501">
        <v>1010</v>
      </c>
    </row>
    <row r="14" spans="1:6">
      <c r="B14" s="500"/>
      <c r="C14" s="510" t="s">
        <v>153</v>
      </c>
      <c r="D14" s="501">
        <v>1089</v>
      </c>
      <c r="E14" s="501">
        <v>112</v>
      </c>
      <c r="F14" s="501">
        <v>590</v>
      </c>
    </row>
    <row r="15" spans="1:6">
      <c r="B15" s="500"/>
      <c r="C15" s="510" t="s">
        <v>154</v>
      </c>
      <c r="D15" s="501">
        <v>294</v>
      </c>
      <c r="E15" s="501">
        <v>1032</v>
      </c>
      <c r="F15" s="501">
        <v>430</v>
      </c>
    </row>
    <row r="16" spans="1:6">
      <c r="B16" s="500"/>
      <c r="C16" s="510" t="s">
        <v>38</v>
      </c>
      <c r="D16" s="501">
        <v>230</v>
      </c>
      <c r="E16" s="501">
        <v>683</v>
      </c>
      <c r="F16" s="501">
        <v>161</v>
      </c>
    </row>
    <row r="17" spans="2:6">
      <c r="B17" s="506" t="s">
        <v>155</v>
      </c>
      <c r="C17" s="507"/>
      <c r="D17" s="508">
        <v>1606</v>
      </c>
      <c r="E17" s="508">
        <v>2990</v>
      </c>
      <c r="F17" s="508">
        <v>1372</v>
      </c>
    </row>
    <row r="18" spans="2:6">
      <c r="B18" s="500"/>
      <c r="C18" s="510" t="s">
        <v>156</v>
      </c>
      <c r="D18" s="501">
        <v>1121</v>
      </c>
      <c r="E18" s="501">
        <v>2264</v>
      </c>
      <c r="F18" s="501">
        <v>1083</v>
      </c>
    </row>
    <row r="19" spans="2:6">
      <c r="B19" s="500"/>
      <c r="C19" s="510" t="s">
        <v>157</v>
      </c>
      <c r="D19" s="502" t="s">
        <v>32</v>
      </c>
      <c r="E19" s="502" t="s">
        <v>32</v>
      </c>
      <c r="F19" s="502" t="s">
        <v>206</v>
      </c>
    </row>
    <row r="20" spans="2:6">
      <c r="B20" s="500"/>
      <c r="C20" s="510" t="s">
        <v>158</v>
      </c>
      <c r="D20" s="502" t="s">
        <v>32</v>
      </c>
      <c r="E20" s="502" t="s">
        <v>32</v>
      </c>
      <c r="F20" s="502" t="s">
        <v>206</v>
      </c>
    </row>
    <row r="21" spans="2:6">
      <c r="B21" s="500"/>
      <c r="C21" s="510" t="s">
        <v>851</v>
      </c>
      <c r="D21" s="502" t="s">
        <v>32</v>
      </c>
      <c r="E21" s="502" t="s">
        <v>32</v>
      </c>
      <c r="F21" s="502" t="s">
        <v>206</v>
      </c>
    </row>
    <row r="22" spans="2:6">
      <c r="B22" s="500"/>
      <c r="C22" s="510" t="s">
        <v>38</v>
      </c>
      <c r="D22" s="501">
        <v>484</v>
      </c>
      <c r="E22" s="501">
        <v>726</v>
      </c>
      <c r="F22" s="501">
        <v>289</v>
      </c>
    </row>
    <row r="23" spans="2:6">
      <c r="B23" s="506" t="s">
        <v>159</v>
      </c>
      <c r="C23" s="507"/>
      <c r="D23" s="508">
        <v>1353</v>
      </c>
      <c r="E23" s="508">
        <v>1273</v>
      </c>
      <c r="F23" s="508">
        <v>970</v>
      </c>
    </row>
    <row r="24" spans="2:6">
      <c r="B24" s="500" t="s">
        <v>160</v>
      </c>
      <c r="C24" s="510"/>
      <c r="D24" s="501">
        <v>16047</v>
      </c>
      <c r="E24" s="501">
        <v>41768</v>
      </c>
      <c r="F24" s="501">
        <v>20888</v>
      </c>
    </row>
    <row r="25" spans="2:6">
      <c r="B25" s="446"/>
      <c r="C25" s="608" t="s">
        <v>161</v>
      </c>
      <c r="D25" s="609">
        <v>5.0999999999999997E-2</v>
      </c>
      <c r="E25" s="609">
        <v>5.8999999999999997E-2</v>
      </c>
      <c r="F25" s="609">
        <v>5.8999999999999997E-2</v>
      </c>
    </row>
    <row r="26" spans="2:6">
      <c r="B26" s="479"/>
      <c r="C26" s="611"/>
      <c r="D26" s="494"/>
      <c r="E26" s="494"/>
      <c r="F26" s="494"/>
    </row>
    <row r="27" spans="2:6">
      <c r="B27" s="506" t="s">
        <v>162</v>
      </c>
      <c r="C27" s="507"/>
      <c r="D27" s="508">
        <v>3131</v>
      </c>
      <c r="E27" s="508">
        <v>12473</v>
      </c>
      <c r="F27" s="508">
        <v>630</v>
      </c>
    </row>
    <row r="28" spans="2:6">
      <c r="B28" s="500" t="s">
        <v>163</v>
      </c>
      <c r="C28" s="510"/>
      <c r="D28" s="501">
        <v>335</v>
      </c>
      <c r="E28" s="501">
        <v>2436</v>
      </c>
      <c r="F28" s="501">
        <v>228</v>
      </c>
    </row>
    <row r="29" spans="2:6">
      <c r="B29" s="500" t="s">
        <v>164</v>
      </c>
      <c r="C29" s="510"/>
      <c r="D29" s="501">
        <v>2795</v>
      </c>
      <c r="E29" s="501">
        <v>10036</v>
      </c>
      <c r="F29" s="501">
        <v>401</v>
      </c>
    </row>
    <row r="30" spans="2:6">
      <c r="B30" s="500" t="s">
        <v>165</v>
      </c>
      <c r="C30" s="510"/>
      <c r="D30" s="501">
        <v>18843</v>
      </c>
      <c r="E30" s="501">
        <v>51805</v>
      </c>
      <c r="F30" s="501">
        <v>21289</v>
      </c>
    </row>
    <row r="31" spans="2:6">
      <c r="B31" s="446"/>
      <c r="C31" s="608" t="s">
        <v>166</v>
      </c>
      <c r="D31" s="609">
        <v>0.06</v>
      </c>
      <c r="E31" s="609">
        <v>7.2999999999999995E-2</v>
      </c>
      <c r="F31" s="609">
        <v>0.06</v>
      </c>
    </row>
    <row r="32" spans="2:6">
      <c r="C32" s="486"/>
      <c r="D32" s="466"/>
      <c r="E32" s="449"/>
      <c r="F32" s="466"/>
    </row>
    <row r="33" spans="1:6">
      <c r="B33" s="506" t="s">
        <v>167</v>
      </c>
      <c r="C33" s="507"/>
      <c r="D33" s="508">
        <v>4930</v>
      </c>
      <c r="E33" s="508">
        <v>14983</v>
      </c>
      <c r="F33" s="508">
        <v>7542</v>
      </c>
    </row>
    <row r="34" spans="1:6">
      <c r="B34" s="500" t="s">
        <v>168</v>
      </c>
      <c r="C34" s="514"/>
      <c r="D34" s="501">
        <v>620</v>
      </c>
      <c r="E34" s="501">
        <v>951</v>
      </c>
      <c r="F34" s="501">
        <v>205</v>
      </c>
    </row>
    <row r="35" spans="1:6">
      <c r="B35" s="500" t="s">
        <v>169</v>
      </c>
      <c r="C35" s="514"/>
      <c r="D35" s="501">
        <v>13292</v>
      </c>
      <c r="E35" s="501">
        <v>35870</v>
      </c>
      <c r="F35" s="501">
        <v>13541</v>
      </c>
    </row>
    <row r="36" spans="1:6">
      <c r="B36" s="446"/>
      <c r="C36" s="608" t="s">
        <v>170</v>
      </c>
      <c r="D36" s="609">
        <v>4.2000000000000003E-2</v>
      </c>
      <c r="E36" s="609">
        <v>5.0999999999999997E-2</v>
      </c>
      <c r="F36" s="609">
        <v>3.7999999999999999E-2</v>
      </c>
    </row>
    <row r="37" spans="1:6">
      <c r="E37" s="450"/>
    </row>
    <row r="38" spans="1:6">
      <c r="A38" s="447" t="s">
        <v>226</v>
      </c>
      <c r="C38" s="447" t="s">
        <v>850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4A818-58D8-46AE-B2B8-CC1634C7EFAB}">
  <sheetPr>
    <pageSetUpPr fitToPage="1"/>
  </sheetPr>
  <dimension ref="A1:H28"/>
  <sheetViews>
    <sheetView tabSelected="1" view="pageBreakPreview" zoomScaleNormal="100" zoomScaleSheetLayoutView="100" workbookViewId="0">
      <selection activeCell="I10" sqref="I10"/>
    </sheetView>
  </sheetViews>
  <sheetFormatPr defaultColWidth="10.88671875" defaultRowHeight="12.6"/>
  <cols>
    <col min="1" max="2" width="1.6640625" style="447" customWidth="1"/>
    <col min="3" max="3" width="24.77734375" style="447" customWidth="1"/>
    <col min="4" max="8" width="12.109375" style="447" customWidth="1"/>
    <col min="9" max="16384" width="10.88671875" style="447"/>
  </cols>
  <sheetData>
    <row r="1" spans="1:8">
      <c r="A1" s="446"/>
      <c r="B1" s="446"/>
      <c r="C1" s="446"/>
      <c r="E1" s="473"/>
      <c r="F1" s="473"/>
      <c r="G1" s="473"/>
      <c r="H1" s="473" t="s">
        <v>25</v>
      </c>
    </row>
    <row r="2" spans="1:8">
      <c r="A2" s="454" t="s">
        <v>26</v>
      </c>
      <c r="B2" s="454"/>
      <c r="C2" s="454"/>
      <c r="D2" s="451">
        <v>2023.9</v>
      </c>
      <c r="E2" s="452">
        <v>2024.3</v>
      </c>
      <c r="F2" s="451">
        <v>2024.9</v>
      </c>
      <c r="G2" s="452">
        <v>2025.3</v>
      </c>
      <c r="H2" s="451">
        <v>2025.9</v>
      </c>
    </row>
    <row r="3" spans="1:8">
      <c r="A3" s="479"/>
      <c r="B3" s="479"/>
      <c r="C3" s="479"/>
      <c r="D3" s="448"/>
      <c r="E3" s="479"/>
      <c r="F3" s="479"/>
      <c r="G3" s="448"/>
      <c r="H3" s="479"/>
    </row>
    <row r="4" spans="1:8">
      <c r="B4" s="506" t="s">
        <v>144</v>
      </c>
      <c r="C4" s="507"/>
      <c r="D4" s="508">
        <v>358832</v>
      </c>
      <c r="E4" s="508">
        <v>793264</v>
      </c>
      <c r="F4" s="508">
        <v>380739</v>
      </c>
      <c r="G4" s="508">
        <v>847548</v>
      </c>
      <c r="H4" s="508">
        <v>424506</v>
      </c>
    </row>
    <row r="5" spans="1:8">
      <c r="B5" s="500" t="s">
        <v>145</v>
      </c>
      <c r="C5" s="510"/>
      <c r="D5" s="501">
        <v>51415</v>
      </c>
      <c r="E5" s="501">
        <v>111885</v>
      </c>
      <c r="F5" s="501">
        <v>46970</v>
      </c>
      <c r="G5" s="501">
        <v>115514</v>
      </c>
      <c r="H5" s="501">
        <v>59691</v>
      </c>
    </row>
    <row r="6" spans="1:8">
      <c r="B6" s="500"/>
      <c r="C6" s="510" t="s">
        <v>146</v>
      </c>
      <c r="D6" s="511">
        <v>0.14299999999999999</v>
      </c>
      <c r="E6" s="511">
        <v>0.14099999999999999</v>
      </c>
      <c r="F6" s="511">
        <v>0.123</v>
      </c>
      <c r="G6" s="511">
        <v>0.13600000000000001</v>
      </c>
      <c r="H6" s="511">
        <v>0.14099999999999999</v>
      </c>
    </row>
    <row r="7" spans="1:8">
      <c r="B7" s="500" t="s">
        <v>147</v>
      </c>
      <c r="C7" s="510"/>
      <c r="D7" s="501">
        <v>28130</v>
      </c>
      <c r="E7" s="501">
        <v>62097</v>
      </c>
      <c r="F7" s="501">
        <v>32711</v>
      </c>
      <c r="G7" s="501">
        <v>68330</v>
      </c>
      <c r="H7" s="501">
        <v>35349</v>
      </c>
    </row>
    <row r="8" spans="1:8">
      <c r="B8" s="500" t="s">
        <v>171</v>
      </c>
      <c r="C8" s="510"/>
      <c r="D8" s="501">
        <v>557</v>
      </c>
      <c r="E8" s="501">
        <v>1673</v>
      </c>
      <c r="F8" s="501">
        <v>389</v>
      </c>
      <c r="G8" s="501">
        <v>1355</v>
      </c>
      <c r="H8" s="501">
        <v>14</v>
      </c>
    </row>
    <row r="9" spans="1:8">
      <c r="B9" s="500" t="s">
        <v>172</v>
      </c>
      <c r="C9" s="510"/>
      <c r="D9" s="501">
        <v>23842</v>
      </c>
      <c r="E9" s="501">
        <v>51461</v>
      </c>
      <c r="F9" s="501">
        <v>14648</v>
      </c>
      <c r="G9" s="501">
        <v>48539</v>
      </c>
      <c r="H9" s="501">
        <v>24357</v>
      </c>
    </row>
    <row r="10" spans="1:8">
      <c r="B10" s="503"/>
      <c r="C10" s="512" t="s">
        <v>173</v>
      </c>
      <c r="D10" s="513">
        <v>6.6000000000000003E-2</v>
      </c>
      <c r="E10" s="513">
        <v>6.5000000000000002E-2</v>
      </c>
      <c r="F10" s="513">
        <v>3.7999999999999999E-2</v>
      </c>
      <c r="G10" s="513">
        <v>5.7000000000000002E-2</v>
      </c>
      <c r="H10" s="513">
        <v>5.7000000000000002E-2</v>
      </c>
    </row>
    <row r="11" spans="1:8">
      <c r="C11" s="486"/>
      <c r="D11" s="449"/>
      <c r="E11" s="466"/>
      <c r="F11" s="466"/>
      <c r="G11" s="449"/>
      <c r="H11" s="466"/>
    </row>
    <row r="12" spans="1:8">
      <c r="B12" s="506" t="s">
        <v>174</v>
      </c>
      <c r="C12" s="507"/>
      <c r="D12" s="508">
        <v>390</v>
      </c>
      <c r="E12" s="508">
        <v>1710</v>
      </c>
      <c r="F12" s="508">
        <v>881</v>
      </c>
      <c r="G12" s="508">
        <v>1765</v>
      </c>
      <c r="H12" s="508">
        <v>374</v>
      </c>
    </row>
    <row r="13" spans="1:8">
      <c r="B13" s="500" t="s">
        <v>175</v>
      </c>
      <c r="C13" s="510"/>
      <c r="D13" s="501">
        <v>443</v>
      </c>
      <c r="E13" s="501">
        <v>2111</v>
      </c>
      <c r="F13" s="501">
        <v>1184</v>
      </c>
      <c r="G13" s="501">
        <v>3156</v>
      </c>
      <c r="H13" s="501">
        <v>1036</v>
      </c>
    </row>
    <row r="14" spans="1:8">
      <c r="B14" s="500" t="s">
        <v>176</v>
      </c>
      <c r="C14" s="510"/>
      <c r="D14" s="501">
        <v>-53</v>
      </c>
      <c r="E14" s="501">
        <v>-401</v>
      </c>
      <c r="F14" s="501">
        <v>-302</v>
      </c>
      <c r="G14" s="501">
        <v>-1391</v>
      </c>
      <c r="H14" s="501">
        <v>-662</v>
      </c>
    </row>
    <row r="15" spans="1:8">
      <c r="B15" s="500" t="s">
        <v>148</v>
      </c>
      <c r="C15" s="510"/>
      <c r="D15" s="501">
        <v>23788</v>
      </c>
      <c r="E15" s="501">
        <v>51060</v>
      </c>
      <c r="F15" s="501">
        <v>14346</v>
      </c>
      <c r="G15" s="501">
        <v>47148</v>
      </c>
      <c r="H15" s="501">
        <v>23695</v>
      </c>
    </row>
    <row r="16" spans="1:8">
      <c r="B16" s="503"/>
      <c r="C16" s="512" t="s">
        <v>149</v>
      </c>
      <c r="D16" s="513">
        <v>6.6000000000000003E-2</v>
      </c>
      <c r="E16" s="513">
        <v>6.4000000000000001E-2</v>
      </c>
      <c r="F16" s="513">
        <v>3.7999999999999999E-2</v>
      </c>
      <c r="G16" s="513">
        <v>5.6000000000000001E-2</v>
      </c>
      <c r="H16" s="513">
        <v>5.6000000000000001E-2</v>
      </c>
    </row>
    <row r="17" spans="2:8">
      <c r="C17" s="486"/>
      <c r="D17" s="478"/>
      <c r="E17" s="466"/>
      <c r="F17" s="466"/>
      <c r="G17" s="478"/>
      <c r="H17" s="466"/>
    </row>
    <row r="18" spans="2:8">
      <c r="B18" s="506" t="s">
        <v>177</v>
      </c>
      <c r="C18" s="507"/>
      <c r="D18" s="508">
        <v>1714</v>
      </c>
      <c r="E18" s="508">
        <v>3045</v>
      </c>
      <c r="F18" s="508">
        <v>1290</v>
      </c>
      <c r="G18" s="508">
        <v>10500</v>
      </c>
      <c r="H18" s="508">
        <v>14329</v>
      </c>
    </row>
    <row r="19" spans="2:8">
      <c r="B19" s="500" t="s">
        <v>178</v>
      </c>
      <c r="C19" s="510"/>
      <c r="D19" s="501">
        <v>1184</v>
      </c>
      <c r="E19" s="501">
        <v>4665</v>
      </c>
      <c r="F19" s="501">
        <v>2738</v>
      </c>
      <c r="G19" s="501">
        <v>7893</v>
      </c>
      <c r="H19" s="501">
        <v>3025</v>
      </c>
    </row>
    <row r="20" spans="2:8">
      <c r="B20" s="500" t="s">
        <v>179</v>
      </c>
      <c r="C20" s="510"/>
      <c r="D20" s="501">
        <v>529</v>
      </c>
      <c r="E20" s="501">
        <v>-1620</v>
      </c>
      <c r="F20" s="501">
        <v>-1447</v>
      </c>
      <c r="G20" s="501">
        <v>2607</v>
      </c>
      <c r="H20" s="501">
        <v>11304</v>
      </c>
    </row>
    <row r="21" spans="2:8">
      <c r="B21" s="500" t="s">
        <v>165</v>
      </c>
      <c r="C21" s="510"/>
      <c r="D21" s="501">
        <v>24318</v>
      </c>
      <c r="E21" s="501">
        <v>49439</v>
      </c>
      <c r="F21" s="501">
        <v>12898</v>
      </c>
      <c r="G21" s="501">
        <v>49756</v>
      </c>
      <c r="H21" s="501">
        <v>34999</v>
      </c>
    </row>
    <row r="22" spans="2:8">
      <c r="B22" s="503"/>
      <c r="C22" s="512" t="s">
        <v>166</v>
      </c>
      <c r="D22" s="513">
        <v>6.8000000000000005E-2</v>
      </c>
      <c r="E22" s="513">
        <v>6.2E-2</v>
      </c>
      <c r="F22" s="513">
        <v>3.4000000000000002E-2</v>
      </c>
      <c r="G22" s="513">
        <v>5.8999999999999997E-2</v>
      </c>
      <c r="H22" s="513">
        <v>8.2000000000000003E-2</v>
      </c>
    </row>
    <row r="23" spans="2:8">
      <c r="C23" s="486"/>
      <c r="D23" s="449"/>
      <c r="E23" s="466"/>
      <c r="F23" s="466"/>
      <c r="G23" s="449"/>
      <c r="H23" s="466"/>
    </row>
    <row r="24" spans="2:8">
      <c r="B24" s="506" t="s">
        <v>180</v>
      </c>
      <c r="C24" s="507"/>
      <c r="D24" s="508">
        <v>7844</v>
      </c>
      <c r="E24" s="508">
        <v>16444</v>
      </c>
      <c r="F24" s="508">
        <v>4802</v>
      </c>
      <c r="G24" s="508">
        <v>16912</v>
      </c>
      <c r="H24" s="508">
        <v>10358</v>
      </c>
    </row>
    <row r="25" spans="2:8">
      <c r="B25" s="500" t="s">
        <v>181</v>
      </c>
      <c r="C25" s="514"/>
      <c r="D25" s="501">
        <v>145</v>
      </c>
      <c r="E25" s="501">
        <v>424</v>
      </c>
      <c r="F25" s="501">
        <v>9</v>
      </c>
      <c r="G25" s="501">
        <v>427</v>
      </c>
      <c r="H25" s="501">
        <v>82</v>
      </c>
    </row>
    <row r="26" spans="2:8">
      <c r="B26" s="500" t="s">
        <v>182</v>
      </c>
      <c r="C26" s="514"/>
      <c r="D26" s="501">
        <v>16328</v>
      </c>
      <c r="E26" s="501">
        <v>32571</v>
      </c>
      <c r="F26" s="501">
        <v>8105</v>
      </c>
      <c r="G26" s="501">
        <v>32416</v>
      </c>
      <c r="H26" s="501">
        <v>24558</v>
      </c>
    </row>
    <row r="27" spans="2:8">
      <c r="B27" s="503"/>
      <c r="C27" s="512" t="s">
        <v>170</v>
      </c>
      <c r="D27" s="545">
        <v>4.5999999999999999E-2</v>
      </c>
      <c r="E27" s="545">
        <v>4.1000000000000002E-2</v>
      </c>
      <c r="F27" s="545">
        <v>2.1000000000000001E-2</v>
      </c>
      <c r="G27" s="545">
        <v>3.7999999999999999E-2</v>
      </c>
      <c r="H27" s="545">
        <v>5.8000000000000003E-2</v>
      </c>
    </row>
    <row r="28" spans="2:8">
      <c r="D28" s="450"/>
      <c r="G28" s="450"/>
    </row>
  </sheetData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D96E1-03DB-4446-A10B-B9DA12347716}">
  <sheetPr>
    <pageSetUpPr fitToPage="1"/>
  </sheetPr>
  <dimension ref="A1:L45"/>
  <sheetViews>
    <sheetView tabSelected="1" view="pageBreakPreview" topLeftCell="A10" zoomScaleNormal="100" zoomScaleSheetLayoutView="100" workbookViewId="0">
      <selection activeCell="I10" sqref="I10"/>
    </sheetView>
  </sheetViews>
  <sheetFormatPr defaultColWidth="9" defaultRowHeight="12.6"/>
  <cols>
    <col min="1" max="2" width="1.6640625" style="433" customWidth="1"/>
    <col min="3" max="3" width="24.77734375" style="433" customWidth="1"/>
    <col min="4" max="8" width="12.109375" style="430" customWidth="1"/>
    <col min="9" max="9" width="12.109375" style="433" customWidth="1"/>
    <col min="10" max="10" width="12.109375" style="430" customWidth="1"/>
    <col min="11" max="16384" width="9" style="433"/>
  </cols>
  <sheetData>
    <row r="1" spans="1:12" ht="12" customHeight="1">
      <c r="A1" s="430"/>
      <c r="B1" s="430"/>
      <c r="C1" s="430"/>
      <c r="F1" s="432"/>
      <c r="G1" s="432"/>
      <c r="H1" s="432"/>
      <c r="I1" s="432"/>
      <c r="J1" s="432" t="s">
        <v>25</v>
      </c>
    </row>
    <row r="2" spans="1:12" ht="12" customHeight="1">
      <c r="A2" s="434" t="s">
        <v>183</v>
      </c>
      <c r="B2" s="434"/>
      <c r="C2" s="434"/>
      <c r="D2" s="451">
        <v>2022.9</v>
      </c>
      <c r="E2" s="452">
        <v>2023.3</v>
      </c>
      <c r="F2" s="451">
        <v>2023.9</v>
      </c>
      <c r="G2" s="452">
        <v>2024.3</v>
      </c>
      <c r="H2" s="451">
        <v>2024.9</v>
      </c>
      <c r="I2" s="452">
        <v>2025.3</v>
      </c>
      <c r="J2" s="451">
        <v>2025.9</v>
      </c>
    </row>
    <row r="3" spans="1:12" ht="12" customHeight="1">
      <c r="A3" s="430"/>
      <c r="B3" s="430"/>
      <c r="C3" s="430"/>
      <c r="D3" s="612"/>
      <c r="E3" s="612"/>
      <c r="F3" s="612"/>
      <c r="G3" s="612"/>
      <c r="H3" s="612"/>
      <c r="I3" s="430"/>
      <c r="J3" s="612"/>
    </row>
    <row r="4" spans="1:12" ht="12" customHeight="1">
      <c r="A4" s="435" t="s">
        <v>184</v>
      </c>
      <c r="B4" s="435"/>
      <c r="C4" s="435"/>
      <c r="D4" s="465"/>
      <c r="E4" s="465"/>
      <c r="F4" s="465"/>
      <c r="G4" s="465"/>
      <c r="H4" s="465"/>
      <c r="I4" s="465"/>
      <c r="J4" s="465"/>
    </row>
    <row r="5" spans="1:12" ht="12" customHeight="1">
      <c r="A5" s="430"/>
      <c r="B5" s="515" t="s">
        <v>185</v>
      </c>
      <c r="C5" s="515"/>
      <c r="D5" s="546">
        <v>88243</v>
      </c>
      <c r="E5" s="546">
        <v>216772</v>
      </c>
      <c r="F5" s="546">
        <v>109190</v>
      </c>
      <c r="G5" s="546">
        <v>275374</v>
      </c>
      <c r="H5" s="546">
        <v>157352</v>
      </c>
      <c r="I5" s="546">
        <v>391771</v>
      </c>
      <c r="J5" s="546">
        <v>184388</v>
      </c>
    </row>
    <row r="6" spans="1:12" ht="12" customHeight="1">
      <c r="A6" s="430"/>
      <c r="B6" s="537" t="s">
        <v>186</v>
      </c>
      <c r="C6" s="537"/>
      <c r="D6" s="496">
        <v>-201</v>
      </c>
      <c r="E6" s="466">
        <v>8134</v>
      </c>
      <c r="F6" s="496">
        <v>-2064</v>
      </c>
      <c r="G6" s="547">
        <v>4367</v>
      </c>
      <c r="H6" s="496">
        <v>480</v>
      </c>
      <c r="I6" s="501">
        <v>14223</v>
      </c>
      <c r="J6" s="496">
        <v>8034</v>
      </c>
    </row>
    <row r="7" spans="1:12" ht="12" customHeight="1">
      <c r="A7" s="430"/>
      <c r="B7" s="516"/>
      <c r="C7" s="516" t="s">
        <v>187</v>
      </c>
      <c r="D7" s="548">
        <v>-2E-3</v>
      </c>
      <c r="E7" s="548">
        <v>3.7523296366689426E-2</v>
      </c>
      <c r="F7" s="548">
        <v>-1.8902829929480721E-2</v>
      </c>
      <c r="G7" s="548">
        <v>1.6E-2</v>
      </c>
      <c r="H7" s="548">
        <v>3.0000000000000001E-3</v>
      </c>
      <c r="I7" s="548">
        <v>3.5999999999999997E-2</v>
      </c>
      <c r="J7" s="548">
        <v>4.3999999999999997E-2</v>
      </c>
      <c r="K7" s="625"/>
      <c r="L7" s="625"/>
    </row>
    <row r="8" spans="1:12" ht="12" customHeight="1">
      <c r="A8" s="430"/>
      <c r="B8" s="435"/>
      <c r="C8" s="435"/>
      <c r="D8" s="613"/>
      <c r="E8" s="613"/>
      <c r="F8" s="613"/>
      <c r="G8" s="465"/>
      <c r="H8" s="613"/>
      <c r="I8" s="465"/>
      <c r="J8" s="613"/>
    </row>
    <row r="9" spans="1:12" ht="12" customHeight="1">
      <c r="A9" s="435" t="s">
        <v>188</v>
      </c>
      <c r="B9" s="435"/>
      <c r="C9" s="435"/>
      <c r="D9" s="465"/>
      <c r="E9" s="465"/>
      <c r="F9" s="465"/>
      <c r="G9" s="465"/>
      <c r="H9" s="465"/>
      <c r="I9" s="465"/>
      <c r="J9" s="465"/>
    </row>
    <row r="10" spans="1:12" ht="12" customHeight="1">
      <c r="A10" s="430"/>
      <c r="B10" s="515" t="s">
        <v>185</v>
      </c>
      <c r="C10" s="515"/>
      <c r="D10" s="546">
        <v>68578</v>
      </c>
      <c r="E10" s="546">
        <v>152306</v>
      </c>
      <c r="F10" s="546">
        <v>82562</v>
      </c>
      <c r="G10" s="546">
        <v>162439</v>
      </c>
      <c r="H10" s="546">
        <v>68187</v>
      </c>
      <c r="I10" s="546">
        <v>155341</v>
      </c>
      <c r="J10" s="546">
        <v>80686</v>
      </c>
    </row>
    <row r="11" spans="1:12" ht="12" customHeight="1">
      <c r="A11" s="430"/>
      <c r="B11" s="537" t="s">
        <v>186</v>
      </c>
      <c r="C11" s="537"/>
      <c r="D11" s="496">
        <v>8129</v>
      </c>
      <c r="E11" s="466">
        <v>16757</v>
      </c>
      <c r="F11" s="496">
        <v>17570</v>
      </c>
      <c r="G11" s="547">
        <v>29102</v>
      </c>
      <c r="H11" s="496">
        <v>6848</v>
      </c>
      <c r="I11" s="501">
        <v>15786</v>
      </c>
      <c r="J11" s="496">
        <v>8192</v>
      </c>
    </row>
    <row r="12" spans="1:12" ht="12" customHeight="1">
      <c r="A12" s="430"/>
      <c r="B12" s="516"/>
      <c r="C12" s="516" t="s">
        <v>187</v>
      </c>
      <c r="D12" s="548">
        <v>0.11899999999999999</v>
      </c>
      <c r="E12" s="548">
        <v>0.1100219295365908</v>
      </c>
      <c r="F12" s="548">
        <v>0.2128097672052518</v>
      </c>
      <c r="G12" s="548">
        <v>0.17899999999999999</v>
      </c>
      <c r="H12" s="548">
        <v>0.1</v>
      </c>
      <c r="I12" s="548">
        <v>0.10199999999999999</v>
      </c>
      <c r="J12" s="548">
        <v>0.10199999999999999</v>
      </c>
      <c r="K12" s="625"/>
      <c r="L12" s="625"/>
    </row>
    <row r="13" spans="1:12" ht="12" customHeight="1">
      <c r="A13" s="430"/>
      <c r="B13" s="435"/>
      <c r="C13" s="435"/>
      <c r="D13" s="613"/>
      <c r="E13" s="613"/>
      <c r="F13" s="613"/>
      <c r="G13" s="465"/>
      <c r="H13" s="613"/>
      <c r="I13" s="465"/>
      <c r="J13" s="613"/>
    </row>
    <row r="14" spans="1:12" ht="12" customHeight="1">
      <c r="A14" s="435" t="s">
        <v>189</v>
      </c>
      <c r="B14" s="435"/>
      <c r="C14" s="435"/>
      <c r="D14" s="465"/>
      <c r="E14" s="465"/>
      <c r="F14" s="465"/>
      <c r="G14" s="465"/>
      <c r="H14" s="465"/>
      <c r="I14" s="465"/>
      <c r="J14" s="465"/>
    </row>
    <row r="15" spans="1:12" ht="12" customHeight="1">
      <c r="A15" s="430"/>
      <c r="B15" s="515" t="s">
        <v>185</v>
      </c>
      <c r="C15" s="515"/>
      <c r="D15" s="546">
        <v>111220</v>
      </c>
      <c r="E15" s="546">
        <v>249026</v>
      </c>
      <c r="F15" s="546">
        <v>120812</v>
      </c>
      <c r="G15" s="546">
        <v>256219</v>
      </c>
      <c r="H15" s="546">
        <v>125318</v>
      </c>
      <c r="I15" s="626">
        <v>267118</v>
      </c>
      <c r="J15" s="546">
        <v>127601</v>
      </c>
    </row>
    <row r="16" spans="1:12" ht="12" customHeight="1">
      <c r="A16" s="430"/>
      <c r="B16" s="537" t="s">
        <v>186</v>
      </c>
      <c r="C16" s="537"/>
      <c r="D16" s="496">
        <v>-1727</v>
      </c>
      <c r="E16" s="466">
        <v>11208</v>
      </c>
      <c r="F16" s="496">
        <v>7062</v>
      </c>
      <c r="G16" s="547">
        <v>15218</v>
      </c>
      <c r="H16" s="496">
        <v>7741</v>
      </c>
      <c r="I16" s="627">
        <v>19906</v>
      </c>
      <c r="J16" s="496">
        <v>8191</v>
      </c>
    </row>
    <row r="17" spans="1:12" ht="12" customHeight="1">
      <c r="A17" s="430"/>
      <c r="B17" s="516"/>
      <c r="C17" s="516" t="s">
        <v>187</v>
      </c>
      <c r="D17" s="548">
        <v>-1.6E-2</v>
      </c>
      <c r="E17" s="548">
        <v>4.5007348630263504E-2</v>
      </c>
      <c r="F17" s="548">
        <v>5.8454458166407312E-2</v>
      </c>
      <c r="G17" s="548">
        <v>5.8999999999999997E-2</v>
      </c>
      <c r="H17" s="548">
        <v>6.2E-2</v>
      </c>
      <c r="I17" s="548">
        <v>7.4999999999999997E-2</v>
      </c>
      <c r="J17" s="548">
        <v>6.4000000000000001E-2</v>
      </c>
      <c r="K17" s="625"/>
      <c r="L17" s="625"/>
    </row>
    <row r="18" spans="1:12" ht="12" customHeight="1">
      <c r="A18" s="430"/>
      <c r="B18" s="435"/>
      <c r="C18" s="435"/>
      <c r="D18" s="613"/>
      <c r="E18" s="613"/>
      <c r="F18" s="613"/>
      <c r="G18" s="465"/>
      <c r="H18" s="613"/>
      <c r="I18" s="465"/>
      <c r="J18" s="613"/>
    </row>
    <row r="19" spans="1:12" ht="12" customHeight="1">
      <c r="A19" s="435" t="s">
        <v>190</v>
      </c>
      <c r="B19" s="435"/>
      <c r="C19" s="435"/>
      <c r="D19" s="465"/>
      <c r="E19" s="465"/>
      <c r="F19" s="465"/>
      <c r="G19" s="465"/>
      <c r="H19" s="465"/>
      <c r="I19" s="465"/>
      <c r="J19" s="465"/>
    </row>
    <row r="20" spans="1:12" ht="12" customHeight="1">
      <c r="A20" s="430"/>
      <c r="B20" s="515" t="s">
        <v>185</v>
      </c>
      <c r="C20" s="515"/>
      <c r="D20" s="546">
        <v>17350</v>
      </c>
      <c r="E20" s="546">
        <v>39039</v>
      </c>
      <c r="F20" s="546">
        <v>20198</v>
      </c>
      <c r="G20" s="546">
        <v>41903</v>
      </c>
      <c r="H20" s="546">
        <v>21525</v>
      </c>
      <c r="I20" s="517">
        <v>43835</v>
      </c>
      <c r="J20" s="546">
        <v>19738</v>
      </c>
    </row>
    <row r="21" spans="1:12" ht="12" customHeight="1">
      <c r="A21" s="430"/>
      <c r="B21" s="537" t="s">
        <v>186</v>
      </c>
      <c r="C21" s="537"/>
      <c r="D21" s="496">
        <v>600</v>
      </c>
      <c r="E21" s="466">
        <v>1278</v>
      </c>
      <c r="F21" s="496">
        <v>1019</v>
      </c>
      <c r="G21" s="547">
        <v>2158</v>
      </c>
      <c r="H21" s="496">
        <v>1127</v>
      </c>
      <c r="I21" s="502">
        <v>2277</v>
      </c>
      <c r="J21" s="496">
        <v>887</v>
      </c>
    </row>
    <row r="22" spans="1:12" ht="12" customHeight="1">
      <c r="A22" s="430"/>
      <c r="B22" s="516"/>
      <c r="C22" s="516" t="s">
        <v>187</v>
      </c>
      <c r="D22" s="548">
        <v>3.5000000000000003E-2</v>
      </c>
      <c r="E22" s="548">
        <v>3.2736494274955813E-2</v>
      </c>
      <c r="F22" s="548">
        <v>5.0450539657391824E-2</v>
      </c>
      <c r="G22" s="548">
        <v>5.0999999999999997E-2</v>
      </c>
      <c r="H22" s="548">
        <v>5.1999999999999998E-2</v>
      </c>
      <c r="I22" s="628">
        <v>5.1999999999999998E-2</v>
      </c>
      <c r="J22" s="548">
        <v>4.4999999999999998E-2</v>
      </c>
      <c r="K22" s="625"/>
      <c r="L22" s="625"/>
    </row>
    <row r="23" spans="1:12" ht="12" customHeight="1">
      <c r="A23" s="430"/>
      <c r="B23" s="435"/>
      <c r="C23" s="435"/>
      <c r="D23" s="613"/>
      <c r="E23" s="613"/>
      <c r="F23" s="613"/>
      <c r="G23" s="465"/>
      <c r="H23" s="613"/>
      <c r="I23" s="465"/>
      <c r="J23" s="613"/>
    </row>
    <row r="24" spans="1:12" ht="12" customHeight="1">
      <c r="A24" s="435" t="s">
        <v>191</v>
      </c>
      <c r="B24" s="435"/>
      <c r="C24" s="435"/>
      <c r="D24" s="465"/>
      <c r="E24" s="465"/>
      <c r="F24" s="465"/>
      <c r="G24" s="465"/>
      <c r="H24" s="465"/>
      <c r="I24" s="465"/>
      <c r="J24" s="465"/>
    </row>
    <row r="25" spans="1:12" ht="12" customHeight="1">
      <c r="A25" s="430"/>
      <c r="B25" s="515" t="s">
        <v>185</v>
      </c>
      <c r="C25" s="515"/>
      <c r="D25" s="546">
        <v>14734</v>
      </c>
      <c r="E25" s="546">
        <v>22559</v>
      </c>
      <c r="F25" s="546">
        <v>8315</v>
      </c>
      <c r="G25" s="546">
        <v>18373</v>
      </c>
      <c r="H25" s="546">
        <v>13076</v>
      </c>
      <c r="I25" s="517">
        <v>30777</v>
      </c>
      <c r="J25" s="546">
        <v>17775</v>
      </c>
    </row>
    <row r="26" spans="1:12" ht="12" customHeight="1">
      <c r="A26" s="430"/>
      <c r="B26" s="537" t="s">
        <v>186</v>
      </c>
      <c r="C26" s="537"/>
      <c r="D26" s="496">
        <v>7498</v>
      </c>
      <c r="E26" s="466">
        <v>7612</v>
      </c>
      <c r="F26" s="496">
        <v>-240</v>
      </c>
      <c r="G26" s="547">
        <v>-1079</v>
      </c>
      <c r="H26" s="496">
        <v>-1930</v>
      </c>
      <c r="I26" s="502">
        <v>-2198</v>
      </c>
      <c r="J26" s="496">
        <v>-1503</v>
      </c>
    </row>
    <row r="27" spans="1:12" ht="12" customHeight="1">
      <c r="A27" s="430"/>
      <c r="B27" s="516"/>
      <c r="C27" s="516" t="s">
        <v>187</v>
      </c>
      <c r="D27" s="548">
        <v>0.50900000000000001</v>
      </c>
      <c r="E27" s="548">
        <v>0.33742630435746268</v>
      </c>
      <c r="F27" s="548">
        <v>-2.8863499699338546E-2</v>
      </c>
      <c r="G27" s="548">
        <v>-5.8999999999999997E-2</v>
      </c>
      <c r="H27" s="548">
        <v>-0.14799999999999999</v>
      </c>
      <c r="I27" s="628">
        <v>-7.0999999999999994E-2</v>
      </c>
      <c r="J27" s="548">
        <v>-8.5000000000000006E-2</v>
      </c>
      <c r="K27" s="625"/>
      <c r="L27" s="625"/>
    </row>
    <row r="28" spans="1:12" ht="12" customHeight="1">
      <c r="A28" s="430"/>
      <c r="B28" s="430"/>
      <c r="C28" s="430"/>
      <c r="D28" s="487"/>
      <c r="E28" s="487"/>
      <c r="F28" s="487"/>
      <c r="G28" s="487"/>
      <c r="H28" s="487"/>
      <c r="I28" s="487"/>
      <c r="J28" s="487"/>
    </row>
    <row r="29" spans="1:12" ht="12" customHeight="1">
      <c r="A29" s="435" t="s">
        <v>853</v>
      </c>
      <c r="B29" s="435"/>
      <c r="C29" s="435"/>
      <c r="D29" s="465"/>
      <c r="E29" s="465"/>
      <c r="F29" s="465"/>
      <c r="G29" s="465"/>
      <c r="H29" s="465"/>
      <c r="I29" s="465"/>
      <c r="J29" s="465"/>
    </row>
    <row r="30" spans="1:12" ht="12" customHeight="1">
      <c r="A30" s="430"/>
      <c r="B30" s="515" t="s">
        <v>185</v>
      </c>
      <c r="C30" s="515"/>
      <c r="D30" s="546">
        <v>23655</v>
      </c>
      <c r="E30" s="546">
        <v>53649</v>
      </c>
      <c r="F30" s="546">
        <v>27196</v>
      </c>
      <c r="G30" s="546">
        <v>58964</v>
      </c>
      <c r="H30" s="546">
        <v>1704</v>
      </c>
      <c r="I30" s="546">
        <v>3784</v>
      </c>
      <c r="J30" s="546">
        <v>3969</v>
      </c>
    </row>
    <row r="31" spans="1:12" ht="12" customHeight="1">
      <c r="A31" s="430"/>
      <c r="B31" s="537" t="s">
        <v>186</v>
      </c>
      <c r="C31" s="537"/>
      <c r="D31" s="496">
        <v>480</v>
      </c>
      <c r="E31" s="466">
        <v>2256</v>
      </c>
      <c r="F31" s="496">
        <v>662</v>
      </c>
      <c r="G31" s="547">
        <v>2153</v>
      </c>
      <c r="H31" s="496">
        <v>390</v>
      </c>
      <c r="I31" s="501">
        <v>1847</v>
      </c>
      <c r="J31" s="496">
        <v>445</v>
      </c>
    </row>
    <row r="32" spans="1:12" ht="12" customHeight="1">
      <c r="A32" s="430"/>
      <c r="B32" s="516"/>
      <c r="C32" s="516" t="s">
        <v>187</v>
      </c>
      <c r="D32" s="548">
        <v>0.02</v>
      </c>
      <c r="E32" s="548">
        <v>4.2051109992730526E-2</v>
      </c>
      <c r="F32" s="548">
        <v>2.4341814972790116E-2</v>
      </c>
      <c r="G32" s="548">
        <v>3.6999999999999998E-2</v>
      </c>
      <c r="H32" s="548">
        <v>0.22900000000000001</v>
      </c>
      <c r="I32" s="548">
        <v>0.48799999999999999</v>
      </c>
      <c r="J32" s="548">
        <v>0.112</v>
      </c>
      <c r="K32" s="625"/>
      <c r="L32" s="625"/>
    </row>
    <row r="33" spans="1:12" ht="12" customHeight="1">
      <c r="A33" s="430"/>
      <c r="B33" s="435"/>
      <c r="C33" s="435"/>
      <c r="D33" s="613"/>
      <c r="E33" s="613"/>
      <c r="F33" s="613"/>
      <c r="G33" s="465"/>
      <c r="H33" s="613"/>
      <c r="I33" s="492"/>
      <c r="J33" s="613"/>
    </row>
    <row r="34" spans="1:12" ht="12" customHeight="1">
      <c r="A34" s="435" t="s">
        <v>854</v>
      </c>
      <c r="B34" s="435"/>
      <c r="C34" s="435"/>
      <c r="D34" s="465"/>
      <c r="E34" s="465"/>
      <c r="F34" s="465"/>
      <c r="G34" s="465"/>
      <c r="H34" s="465"/>
      <c r="I34" s="465"/>
      <c r="J34" s="465"/>
    </row>
    <row r="35" spans="1:12" ht="12" customHeight="1">
      <c r="A35" s="430"/>
      <c r="B35" s="515" t="s">
        <v>185</v>
      </c>
      <c r="C35" s="515"/>
      <c r="D35" s="546">
        <v>-10293</v>
      </c>
      <c r="E35" s="546">
        <v>-21543</v>
      </c>
      <c r="F35" s="546">
        <v>-9442</v>
      </c>
      <c r="G35" s="546">
        <v>-20010</v>
      </c>
      <c r="H35" s="546">
        <v>-6425</v>
      </c>
      <c r="I35" s="546">
        <v>-45080</v>
      </c>
      <c r="J35" s="546">
        <v>-9652</v>
      </c>
    </row>
    <row r="36" spans="1:12" ht="12" customHeight="1">
      <c r="A36" s="430"/>
      <c r="B36" s="516" t="s">
        <v>192</v>
      </c>
      <c r="C36" s="516"/>
      <c r="D36" s="476">
        <v>-85</v>
      </c>
      <c r="E36" s="504">
        <v>-819</v>
      </c>
      <c r="F36" s="476">
        <v>-168</v>
      </c>
      <c r="G36" s="549">
        <v>-459</v>
      </c>
      <c r="H36" s="629">
        <v>-9</v>
      </c>
      <c r="I36" s="629">
        <v>-3304</v>
      </c>
      <c r="J36" s="476">
        <v>109</v>
      </c>
      <c r="K36" s="625"/>
    </row>
    <row r="37" spans="1:12" ht="12" customHeight="1">
      <c r="A37" s="430"/>
      <c r="B37" s="435"/>
      <c r="C37" s="435"/>
      <c r="D37" s="613"/>
      <c r="E37" s="613"/>
      <c r="F37" s="465"/>
      <c r="G37" s="465"/>
      <c r="H37" s="465"/>
      <c r="I37" s="465"/>
      <c r="J37" s="465"/>
    </row>
    <row r="38" spans="1:12" ht="12" customHeight="1">
      <c r="A38" s="435" t="s">
        <v>855</v>
      </c>
      <c r="B38" s="435"/>
      <c r="C38" s="435"/>
      <c r="D38" s="465"/>
      <c r="E38" s="465"/>
      <c r="F38" s="465"/>
      <c r="G38" s="465"/>
      <c r="H38" s="465"/>
      <c r="I38" s="465"/>
      <c r="J38" s="465"/>
    </row>
    <row r="39" spans="1:12" ht="12" customHeight="1">
      <c r="A39" s="430"/>
      <c r="B39" s="515" t="s">
        <v>185</v>
      </c>
      <c r="C39" s="515"/>
      <c r="D39" s="546">
        <v>313490</v>
      </c>
      <c r="E39" s="546">
        <v>711810</v>
      </c>
      <c r="F39" s="546">
        <v>358832</v>
      </c>
      <c r="G39" s="546">
        <v>793264</v>
      </c>
      <c r="H39" s="546">
        <v>380739</v>
      </c>
      <c r="I39" s="546">
        <v>847548</v>
      </c>
      <c r="J39" s="546">
        <v>424506</v>
      </c>
    </row>
    <row r="40" spans="1:12" ht="12" customHeight="1">
      <c r="A40" s="430"/>
      <c r="B40" s="537" t="s">
        <v>186</v>
      </c>
      <c r="C40" s="537"/>
      <c r="D40" s="496">
        <v>14693</v>
      </c>
      <c r="E40" s="466">
        <v>46429</v>
      </c>
      <c r="F40" s="496">
        <v>23842</v>
      </c>
      <c r="G40" s="547">
        <v>51461</v>
      </c>
      <c r="H40" s="496">
        <v>14648</v>
      </c>
      <c r="I40" s="501">
        <v>48539</v>
      </c>
      <c r="J40" s="496">
        <v>24357</v>
      </c>
    </row>
    <row r="41" spans="1:12" ht="12" customHeight="1">
      <c r="A41" s="430"/>
      <c r="B41" s="516"/>
      <c r="C41" s="516" t="s">
        <v>187</v>
      </c>
      <c r="D41" s="548">
        <v>4.7E-2</v>
      </c>
      <c r="E41" s="548">
        <v>6.5226675657830038E-2</v>
      </c>
      <c r="F41" s="548">
        <v>6.644334953404378E-2</v>
      </c>
      <c r="G41" s="548">
        <v>6.5000000000000002E-2</v>
      </c>
      <c r="H41" s="548">
        <v>3.847254943675326E-2</v>
      </c>
      <c r="I41" s="548">
        <v>5.7000000000000002E-2</v>
      </c>
      <c r="J41" s="548">
        <v>5.7000000000000002E-2</v>
      </c>
      <c r="K41" s="625"/>
      <c r="L41" s="625"/>
    </row>
    <row r="42" spans="1:12" ht="12" customHeight="1">
      <c r="A42" s="430"/>
      <c r="B42" s="430"/>
      <c r="C42" s="430"/>
      <c r="D42" s="465"/>
      <c r="E42" s="465"/>
      <c r="F42" s="465"/>
      <c r="G42" s="465"/>
      <c r="H42" s="465"/>
      <c r="I42" s="492"/>
      <c r="J42" s="465"/>
    </row>
    <row r="43" spans="1:12">
      <c r="A43" s="433" t="s">
        <v>193</v>
      </c>
      <c r="C43" s="437" t="s">
        <v>856</v>
      </c>
      <c r="D43" s="437"/>
      <c r="E43" s="437"/>
      <c r="F43" s="437"/>
      <c r="G43" s="437"/>
      <c r="H43" s="437"/>
      <c r="I43" s="437"/>
      <c r="J43" s="437"/>
    </row>
    <row r="44" spans="1:12">
      <c r="A44" s="433" t="s">
        <v>194</v>
      </c>
      <c r="B44" s="447"/>
      <c r="C44" s="433" t="s">
        <v>196</v>
      </c>
    </row>
    <row r="45" spans="1:12">
      <c r="A45" s="433" t="s">
        <v>195</v>
      </c>
      <c r="C45" s="433" t="s">
        <v>852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78" orientation="portrait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98C96-6372-4061-9F71-A78F7A20572A}">
  <sheetPr>
    <pageSetUpPr fitToPage="1"/>
  </sheetPr>
  <dimension ref="A1:J40"/>
  <sheetViews>
    <sheetView tabSelected="1" view="pageBreakPreview" zoomScaleNormal="100" zoomScaleSheetLayoutView="100" workbookViewId="0">
      <selection activeCell="I10" sqref="I10"/>
    </sheetView>
  </sheetViews>
  <sheetFormatPr defaultColWidth="9" defaultRowHeight="12" customHeight="1"/>
  <cols>
    <col min="1" max="2" width="1.6640625" style="433" customWidth="1"/>
    <col min="3" max="3" width="24.77734375" style="433" customWidth="1"/>
    <col min="4" max="10" width="12.109375" style="433" customWidth="1"/>
    <col min="11" max="16384" width="9" style="433"/>
  </cols>
  <sheetData>
    <row r="1" spans="1:10" ht="12" customHeight="1">
      <c r="A1" s="438"/>
      <c r="B1" s="438"/>
      <c r="C1" s="438"/>
      <c r="D1" s="431"/>
      <c r="E1" s="431"/>
      <c r="F1" s="438"/>
      <c r="G1" s="438"/>
      <c r="H1" s="438"/>
      <c r="I1" s="438"/>
      <c r="J1" s="438" t="s">
        <v>197</v>
      </c>
    </row>
    <row r="2" spans="1:10" ht="12" customHeight="1">
      <c r="A2" s="434" t="s">
        <v>183</v>
      </c>
      <c r="B2" s="434"/>
      <c r="C2" s="434"/>
      <c r="D2" s="451">
        <v>2022.9</v>
      </c>
      <c r="E2" s="452">
        <v>2023.3</v>
      </c>
      <c r="F2" s="451">
        <v>2023.9</v>
      </c>
      <c r="G2" s="452">
        <v>2024.3</v>
      </c>
      <c r="H2" s="451">
        <v>2024.9</v>
      </c>
      <c r="I2" s="452">
        <v>2025.3</v>
      </c>
      <c r="J2" s="451">
        <v>2025.9</v>
      </c>
    </row>
    <row r="3" spans="1:10" ht="12" customHeight="1">
      <c r="A3" s="438"/>
      <c r="B3" s="438"/>
      <c r="C3" s="438"/>
      <c r="D3" s="614"/>
      <c r="E3" s="614"/>
      <c r="F3" s="614"/>
      <c r="G3" s="614"/>
      <c r="H3" s="614"/>
      <c r="I3" s="438"/>
      <c r="J3" s="614"/>
    </row>
    <row r="4" spans="1:10" ht="12" customHeight="1">
      <c r="A4" s="460" t="s">
        <v>198</v>
      </c>
      <c r="B4" s="438"/>
      <c r="C4" s="459"/>
      <c r="D4" s="554"/>
      <c r="E4" s="554"/>
      <c r="F4" s="554"/>
      <c r="G4" s="554"/>
      <c r="H4" s="554"/>
      <c r="I4" s="554"/>
      <c r="J4" s="554"/>
    </row>
    <row r="5" spans="1:10" ht="12" customHeight="1">
      <c r="A5" s="438"/>
      <c r="B5" s="518" t="s">
        <v>185</v>
      </c>
      <c r="C5" s="518"/>
      <c r="D5" s="499">
        <v>163082</v>
      </c>
      <c r="E5" s="546">
        <v>375875</v>
      </c>
      <c r="F5" s="499">
        <v>190123</v>
      </c>
      <c r="G5" s="546">
        <v>436087</v>
      </c>
      <c r="H5" s="499">
        <v>202168</v>
      </c>
      <c r="I5" s="540">
        <v>493768</v>
      </c>
      <c r="J5" s="499">
        <v>232077</v>
      </c>
    </row>
    <row r="6" spans="1:10" ht="12" customHeight="1">
      <c r="A6" s="438"/>
      <c r="B6" s="519" t="s">
        <v>199</v>
      </c>
      <c r="C6" s="519"/>
      <c r="D6" s="501">
        <v>13289</v>
      </c>
      <c r="E6" s="547">
        <v>29910</v>
      </c>
      <c r="F6" s="501">
        <v>14536</v>
      </c>
      <c r="G6" s="547">
        <v>31739</v>
      </c>
      <c r="H6" s="501">
        <v>6279</v>
      </c>
      <c r="I6" s="541">
        <v>27010</v>
      </c>
      <c r="J6" s="501">
        <v>14518</v>
      </c>
    </row>
    <row r="7" spans="1:10" ht="12" customHeight="1">
      <c r="A7" s="438"/>
      <c r="B7" s="519" t="s">
        <v>200</v>
      </c>
      <c r="C7" s="519"/>
      <c r="D7" s="501">
        <v>15528</v>
      </c>
      <c r="E7" s="496">
        <v>32273</v>
      </c>
      <c r="F7" s="501">
        <v>16312</v>
      </c>
      <c r="G7" s="547">
        <v>33969</v>
      </c>
      <c r="H7" s="501">
        <v>8358</v>
      </c>
      <c r="I7" s="541">
        <v>30198</v>
      </c>
      <c r="J7" s="501">
        <v>15996</v>
      </c>
    </row>
    <row r="8" spans="1:10" ht="12" customHeight="1">
      <c r="A8" s="438"/>
      <c r="B8" s="520" t="s">
        <v>201</v>
      </c>
      <c r="C8" s="521"/>
      <c r="D8" s="493">
        <v>14491</v>
      </c>
      <c r="E8" s="549">
        <v>30206</v>
      </c>
      <c r="F8" s="493">
        <v>11520</v>
      </c>
      <c r="G8" s="549">
        <v>25532</v>
      </c>
      <c r="H8" s="493">
        <v>6657</v>
      </c>
      <c r="I8" s="555">
        <v>29519</v>
      </c>
      <c r="J8" s="493">
        <v>15938</v>
      </c>
    </row>
    <row r="9" spans="1:10" ht="12" customHeight="1">
      <c r="A9" s="438"/>
      <c r="C9" s="518" t="s">
        <v>202</v>
      </c>
      <c r="D9" s="499">
        <v>435297</v>
      </c>
      <c r="E9" s="557">
        <v>475010</v>
      </c>
      <c r="F9" s="499">
        <v>512937</v>
      </c>
      <c r="G9" s="546">
        <v>587477</v>
      </c>
      <c r="H9" s="499">
        <v>539777</v>
      </c>
      <c r="I9" s="540">
        <v>562827</v>
      </c>
      <c r="J9" s="499">
        <v>548350</v>
      </c>
    </row>
    <row r="10" spans="1:10" ht="12" customHeight="1">
      <c r="A10" s="438"/>
      <c r="C10" s="519" t="s">
        <v>203</v>
      </c>
      <c r="D10" s="501">
        <v>27009</v>
      </c>
      <c r="E10" s="557">
        <v>47190</v>
      </c>
      <c r="F10" s="501">
        <v>83166</v>
      </c>
      <c r="G10" s="547">
        <v>103765</v>
      </c>
      <c r="H10" s="501">
        <v>97662</v>
      </c>
      <c r="I10" s="541">
        <v>54186</v>
      </c>
      <c r="J10" s="501">
        <v>47714</v>
      </c>
    </row>
    <row r="11" spans="1:10" ht="12" customHeight="1">
      <c r="A11" s="438"/>
      <c r="C11" s="522" t="s">
        <v>204</v>
      </c>
      <c r="D11" s="493">
        <v>258994</v>
      </c>
      <c r="E11" s="476">
        <v>248068</v>
      </c>
      <c r="F11" s="493">
        <v>272168</v>
      </c>
      <c r="G11" s="549">
        <v>276359</v>
      </c>
      <c r="H11" s="493">
        <v>269772</v>
      </c>
      <c r="I11" s="555">
        <v>290375</v>
      </c>
      <c r="J11" s="493">
        <v>300262</v>
      </c>
    </row>
    <row r="12" spans="1:10" ht="12" customHeight="1">
      <c r="A12" s="438"/>
      <c r="B12" s="438"/>
      <c r="C12" s="439"/>
      <c r="D12" s="615"/>
      <c r="E12" s="496"/>
      <c r="F12" s="615"/>
      <c r="G12" s="496"/>
      <c r="H12" s="615"/>
      <c r="I12" s="496"/>
      <c r="J12" s="615"/>
    </row>
    <row r="13" spans="1:10" ht="12" customHeight="1">
      <c r="A13" s="460" t="s">
        <v>205</v>
      </c>
      <c r="B13" s="438"/>
      <c r="C13" s="438"/>
      <c r="D13" s="465"/>
      <c r="E13" s="464"/>
      <c r="F13" s="465"/>
      <c r="G13" s="464"/>
      <c r="H13" s="465"/>
      <c r="I13" s="464"/>
      <c r="J13" s="465"/>
    </row>
    <row r="14" spans="1:10" ht="12" customHeight="1">
      <c r="A14" s="438"/>
      <c r="B14" s="518" t="s">
        <v>185</v>
      </c>
      <c r="C14" s="518"/>
      <c r="D14" s="546">
        <v>111220</v>
      </c>
      <c r="E14" s="546">
        <v>248662</v>
      </c>
      <c r="F14" s="546">
        <v>118241</v>
      </c>
      <c r="G14" s="546">
        <v>256031</v>
      </c>
      <c r="H14" s="546">
        <v>123826</v>
      </c>
      <c r="I14" s="546">
        <v>267888</v>
      </c>
      <c r="J14" s="546">
        <v>125440</v>
      </c>
    </row>
    <row r="15" spans="1:10" ht="12" customHeight="1">
      <c r="A15" s="438"/>
      <c r="B15" s="519" t="s">
        <v>199</v>
      </c>
      <c r="C15" s="519"/>
      <c r="D15" s="547">
        <v>2059</v>
      </c>
      <c r="E15" s="547">
        <v>11485</v>
      </c>
      <c r="F15" s="547">
        <v>7294</v>
      </c>
      <c r="G15" s="547">
        <v>16208</v>
      </c>
      <c r="H15" s="547">
        <v>7867</v>
      </c>
      <c r="I15" s="547">
        <v>19772</v>
      </c>
      <c r="J15" s="547">
        <v>8783</v>
      </c>
    </row>
    <row r="16" spans="1:10" ht="12" customHeight="1">
      <c r="A16" s="438"/>
      <c r="B16" s="519" t="s">
        <v>200</v>
      </c>
      <c r="C16" s="519"/>
      <c r="D16" s="547">
        <v>2578</v>
      </c>
      <c r="E16" s="547">
        <v>11935</v>
      </c>
      <c r="F16" s="547">
        <v>7469</v>
      </c>
      <c r="G16" s="547">
        <v>16608</v>
      </c>
      <c r="H16" s="547">
        <v>8049</v>
      </c>
      <c r="I16" s="547">
        <v>20299</v>
      </c>
      <c r="J16" s="547">
        <v>8986</v>
      </c>
    </row>
    <row r="17" spans="1:10" ht="12" customHeight="1">
      <c r="A17" s="438"/>
      <c r="B17" s="520" t="s">
        <v>201</v>
      </c>
      <c r="C17" s="522"/>
      <c r="D17" s="549">
        <v>1601</v>
      </c>
      <c r="E17" s="549">
        <v>9445</v>
      </c>
      <c r="F17" s="549">
        <v>5183</v>
      </c>
      <c r="G17" s="549">
        <v>11335</v>
      </c>
      <c r="H17" s="549">
        <v>5327.1375740000003</v>
      </c>
      <c r="I17" s="549">
        <v>13685</v>
      </c>
      <c r="J17" s="549">
        <v>6263</v>
      </c>
    </row>
    <row r="18" spans="1:10" ht="12" customHeight="1">
      <c r="A18" s="438"/>
      <c r="C18" s="518" t="s">
        <v>202</v>
      </c>
      <c r="D18" s="546">
        <v>231855</v>
      </c>
      <c r="E18" s="546">
        <v>237102</v>
      </c>
      <c r="F18" s="546">
        <v>238381</v>
      </c>
      <c r="G18" s="546">
        <v>248449</v>
      </c>
      <c r="H18" s="546">
        <v>242195</v>
      </c>
      <c r="I18" s="546">
        <v>255210</v>
      </c>
      <c r="J18" s="546">
        <v>245745</v>
      </c>
    </row>
    <row r="19" spans="1:10" ht="12" customHeight="1">
      <c r="A19" s="438"/>
      <c r="C19" s="519" t="s">
        <v>203</v>
      </c>
      <c r="D19" s="525" t="s">
        <v>32</v>
      </c>
      <c r="E19" s="525" t="s">
        <v>32</v>
      </c>
      <c r="F19" s="525" t="s">
        <v>206</v>
      </c>
      <c r="G19" s="525" t="s">
        <v>206</v>
      </c>
      <c r="H19" s="525" t="s">
        <v>206</v>
      </c>
      <c r="I19" s="525" t="s">
        <v>206</v>
      </c>
      <c r="J19" s="525" t="s">
        <v>206</v>
      </c>
    </row>
    <row r="20" spans="1:10" ht="12" customHeight="1">
      <c r="A20" s="438"/>
      <c r="C20" s="522" t="s">
        <v>204</v>
      </c>
      <c r="D20" s="476">
        <v>165945</v>
      </c>
      <c r="E20" s="476">
        <v>165603</v>
      </c>
      <c r="F20" s="476">
        <v>171778</v>
      </c>
      <c r="G20" s="549">
        <v>171269</v>
      </c>
      <c r="H20" s="476">
        <v>171399</v>
      </c>
      <c r="I20" s="549">
        <v>181459</v>
      </c>
      <c r="J20" s="476">
        <v>182531</v>
      </c>
    </row>
    <row r="21" spans="1:10" ht="12" customHeight="1">
      <c r="A21" s="438"/>
      <c r="C21" s="438"/>
      <c r="D21" s="496"/>
      <c r="E21" s="496"/>
      <c r="F21" s="496"/>
      <c r="G21" s="496"/>
      <c r="H21" s="496"/>
      <c r="I21" s="496"/>
      <c r="J21" s="496"/>
    </row>
    <row r="22" spans="1:10" ht="12" customHeight="1">
      <c r="A22" s="460" t="s">
        <v>847</v>
      </c>
      <c r="B22" s="438"/>
      <c r="C22" s="438"/>
      <c r="D22" s="464"/>
      <c r="E22" s="464"/>
      <c r="F22" s="464"/>
      <c r="G22" s="464"/>
      <c r="H22" s="464"/>
      <c r="I22" s="464"/>
      <c r="J22" s="464"/>
    </row>
    <row r="23" spans="1:10" ht="12" customHeight="1">
      <c r="A23" s="438"/>
      <c r="B23" s="518" t="s">
        <v>185</v>
      </c>
      <c r="C23" s="518"/>
      <c r="D23" s="546">
        <v>17350</v>
      </c>
      <c r="E23" s="546">
        <v>39488</v>
      </c>
      <c r="F23" s="546">
        <v>20198</v>
      </c>
      <c r="G23" s="546">
        <v>41903</v>
      </c>
      <c r="H23" s="546">
        <v>21527</v>
      </c>
      <c r="I23" s="546">
        <v>43838</v>
      </c>
      <c r="J23" s="546">
        <v>19738</v>
      </c>
    </row>
    <row r="24" spans="1:10" ht="12" customHeight="1">
      <c r="A24" s="438"/>
      <c r="B24" s="519" t="s">
        <v>199</v>
      </c>
      <c r="C24" s="519"/>
      <c r="D24" s="547">
        <v>581</v>
      </c>
      <c r="E24" s="547">
        <v>1726</v>
      </c>
      <c r="F24" s="547">
        <v>1107</v>
      </c>
      <c r="G24" s="547">
        <v>2214</v>
      </c>
      <c r="H24" s="547">
        <v>1138</v>
      </c>
      <c r="I24" s="547">
        <v>2185</v>
      </c>
      <c r="J24" s="547">
        <v>980</v>
      </c>
    </row>
    <row r="25" spans="1:10" ht="12" customHeight="1">
      <c r="A25" s="438"/>
      <c r="B25" s="519" t="s">
        <v>200</v>
      </c>
      <c r="C25" s="519"/>
      <c r="D25" s="547">
        <v>652</v>
      </c>
      <c r="E25" s="547">
        <v>1830</v>
      </c>
      <c r="F25" s="547">
        <v>1226</v>
      </c>
      <c r="G25" s="547">
        <v>2438</v>
      </c>
      <c r="H25" s="547">
        <v>1148</v>
      </c>
      <c r="I25" s="547">
        <v>2277</v>
      </c>
      <c r="J25" s="547">
        <v>1071</v>
      </c>
    </row>
    <row r="26" spans="1:10" ht="12" customHeight="1">
      <c r="A26" s="438"/>
      <c r="B26" s="520" t="s">
        <v>201</v>
      </c>
      <c r="C26" s="522"/>
      <c r="D26" s="549">
        <v>414</v>
      </c>
      <c r="E26" s="549">
        <v>1490</v>
      </c>
      <c r="F26" s="549">
        <v>918</v>
      </c>
      <c r="G26" s="549">
        <v>1738</v>
      </c>
      <c r="H26" s="549">
        <v>797</v>
      </c>
      <c r="I26" s="549">
        <v>2294</v>
      </c>
      <c r="J26" s="549">
        <v>705</v>
      </c>
    </row>
    <row r="27" spans="1:10" ht="12" customHeight="1">
      <c r="A27" s="438"/>
      <c r="C27" s="518" t="s">
        <v>202</v>
      </c>
      <c r="D27" s="546">
        <v>29049</v>
      </c>
      <c r="E27" s="546">
        <v>35829</v>
      </c>
      <c r="F27" s="546">
        <v>38932</v>
      </c>
      <c r="G27" s="546">
        <v>40300</v>
      </c>
      <c r="H27" s="546">
        <v>36408</v>
      </c>
      <c r="I27" s="546">
        <v>38265</v>
      </c>
      <c r="J27" s="546">
        <v>37918</v>
      </c>
    </row>
    <row r="28" spans="1:10" ht="12" customHeight="1">
      <c r="A28" s="438"/>
      <c r="C28" s="519" t="s">
        <v>203</v>
      </c>
      <c r="D28" s="547">
        <v>3068</v>
      </c>
      <c r="E28" s="547">
        <v>4954</v>
      </c>
      <c r="F28" s="547">
        <v>6703</v>
      </c>
      <c r="G28" s="547">
        <v>5914</v>
      </c>
      <c r="H28" s="547">
        <v>5779</v>
      </c>
      <c r="I28" s="547">
        <v>4876</v>
      </c>
      <c r="J28" s="547">
        <v>5700</v>
      </c>
    </row>
    <row r="29" spans="1:10" ht="12" customHeight="1">
      <c r="A29" s="438"/>
      <c r="C29" s="522" t="s">
        <v>204</v>
      </c>
      <c r="D29" s="476">
        <v>15115</v>
      </c>
      <c r="E29" s="476">
        <v>16385</v>
      </c>
      <c r="F29" s="476">
        <v>17583</v>
      </c>
      <c r="G29" s="549">
        <v>18069</v>
      </c>
      <c r="H29" s="476">
        <v>17531</v>
      </c>
      <c r="I29" s="549">
        <v>19159</v>
      </c>
      <c r="J29" s="476">
        <v>19682</v>
      </c>
    </row>
    <row r="30" spans="1:10" ht="12" customHeight="1">
      <c r="A30" s="438"/>
      <c r="C30" s="438"/>
      <c r="D30" s="497"/>
      <c r="E30" s="497"/>
      <c r="F30" s="497"/>
      <c r="G30" s="497"/>
      <c r="H30" s="496"/>
      <c r="I30" s="496"/>
      <c r="J30" s="496"/>
    </row>
    <row r="31" spans="1:10" ht="12" customHeight="1">
      <c r="A31" s="460" t="s">
        <v>844</v>
      </c>
      <c r="B31" s="438"/>
      <c r="C31" s="438"/>
      <c r="D31" s="476"/>
      <c r="E31" s="476"/>
      <c r="F31" s="476"/>
      <c r="G31" s="476"/>
      <c r="H31" s="476"/>
      <c r="I31" s="464"/>
      <c r="J31" s="476"/>
    </row>
    <row r="32" spans="1:10" ht="12" customHeight="1">
      <c r="A32" s="438"/>
      <c r="B32" s="518" t="s">
        <v>185</v>
      </c>
      <c r="C32" s="518"/>
      <c r="D32" s="585" t="s">
        <v>206</v>
      </c>
      <c r="E32" s="585" t="s">
        <v>206</v>
      </c>
      <c r="F32" s="585" t="s">
        <v>206</v>
      </c>
      <c r="G32" s="585">
        <v>1514</v>
      </c>
      <c r="H32" s="585">
        <v>1978</v>
      </c>
      <c r="I32" s="546">
        <v>6539</v>
      </c>
      <c r="J32" s="585">
        <v>1957</v>
      </c>
    </row>
    <row r="33" spans="1:10" ht="12" customHeight="1">
      <c r="A33" s="438"/>
      <c r="B33" s="519" t="s">
        <v>199</v>
      </c>
      <c r="C33" s="519"/>
      <c r="D33" s="525" t="s">
        <v>206</v>
      </c>
      <c r="E33" s="525" t="s">
        <v>206</v>
      </c>
      <c r="F33" s="525" t="s">
        <v>206</v>
      </c>
      <c r="G33" s="525">
        <v>-259</v>
      </c>
      <c r="H33" s="525">
        <v>-1848</v>
      </c>
      <c r="I33" s="547">
        <v>-1492</v>
      </c>
      <c r="J33" s="525">
        <v>-1928</v>
      </c>
    </row>
    <row r="34" spans="1:10" ht="12" customHeight="1">
      <c r="A34" s="438"/>
      <c r="B34" s="519" t="s">
        <v>200</v>
      </c>
      <c r="C34" s="519"/>
      <c r="D34" s="525" t="s">
        <v>206</v>
      </c>
      <c r="E34" s="525" t="s">
        <v>206</v>
      </c>
      <c r="F34" s="525" t="s">
        <v>206</v>
      </c>
      <c r="G34" s="525">
        <v>-175</v>
      </c>
      <c r="H34" s="525">
        <v>-1999</v>
      </c>
      <c r="I34" s="547">
        <v>-1820</v>
      </c>
      <c r="J34" s="525">
        <v>-2038</v>
      </c>
    </row>
    <row r="35" spans="1:10" ht="12" customHeight="1">
      <c r="A35" s="438"/>
      <c r="B35" s="520" t="s">
        <v>201</v>
      </c>
      <c r="C35" s="522"/>
      <c r="D35" s="552" t="s">
        <v>206</v>
      </c>
      <c r="E35" s="552" t="s">
        <v>206</v>
      </c>
      <c r="F35" s="552" t="s">
        <v>206</v>
      </c>
      <c r="G35" s="552">
        <v>-481</v>
      </c>
      <c r="H35" s="552">
        <v>-1948</v>
      </c>
      <c r="I35" s="549">
        <v>-1664</v>
      </c>
      <c r="J35" s="552">
        <v>-2111</v>
      </c>
    </row>
    <row r="36" spans="1:10" ht="12" customHeight="1">
      <c r="A36" s="438"/>
      <c r="C36" s="518" t="s">
        <v>202</v>
      </c>
      <c r="D36" s="585" t="s">
        <v>206</v>
      </c>
      <c r="E36" s="585" t="s">
        <v>206</v>
      </c>
      <c r="F36" s="585" t="s">
        <v>206</v>
      </c>
      <c r="G36" s="585">
        <v>49751</v>
      </c>
      <c r="H36" s="585">
        <v>56357</v>
      </c>
      <c r="I36" s="546">
        <v>60452</v>
      </c>
      <c r="J36" s="585">
        <v>68247</v>
      </c>
    </row>
    <row r="37" spans="1:10" ht="12" customHeight="1">
      <c r="A37" s="438"/>
      <c r="C37" s="519" t="s">
        <v>203</v>
      </c>
      <c r="D37" s="525" t="s">
        <v>206</v>
      </c>
      <c r="E37" s="525" t="s">
        <v>206</v>
      </c>
      <c r="F37" s="525" t="s">
        <v>206</v>
      </c>
      <c r="G37" s="525">
        <v>23956</v>
      </c>
      <c r="H37" s="525">
        <v>33436</v>
      </c>
      <c r="I37" s="547">
        <v>43301</v>
      </c>
      <c r="J37" s="525">
        <v>53395</v>
      </c>
    </row>
    <row r="38" spans="1:10" ht="12" customHeight="1">
      <c r="A38" s="438"/>
      <c r="C38" s="522" t="s">
        <v>204</v>
      </c>
      <c r="D38" s="552" t="s">
        <v>206</v>
      </c>
      <c r="E38" s="552" t="s">
        <v>206</v>
      </c>
      <c r="F38" s="552" t="s">
        <v>206</v>
      </c>
      <c r="G38" s="552">
        <v>14494</v>
      </c>
      <c r="H38" s="552">
        <v>12506</v>
      </c>
      <c r="I38" s="549">
        <v>7912</v>
      </c>
      <c r="J38" s="552">
        <v>5775</v>
      </c>
    </row>
    <row r="39" spans="1:10" ht="12" customHeight="1">
      <c r="A39" s="438"/>
      <c r="C39" s="438"/>
      <c r="D39" s="556"/>
      <c r="E39" s="556"/>
      <c r="F39" s="556"/>
      <c r="I39" s="556"/>
    </row>
    <row r="40" spans="1:10" ht="12" customHeight="1">
      <c r="A40" s="438"/>
      <c r="B40" s="438"/>
      <c r="C40" s="438"/>
      <c r="D40" s="440"/>
      <c r="E40" s="440"/>
      <c r="F40" s="440"/>
      <c r="I40" s="440"/>
    </row>
  </sheetData>
  <phoneticPr fontId="2"/>
  <pageMargins left="0.70866141732283472" right="0.70866141732283472" top="0.74803149606299213" bottom="0.74803149606299213" header="0.31496062992125984" footer="0.31496062992125984"/>
  <pageSetup paperSize="9" scale="78" orientation="portrait" r:id="rId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5C63F-DE70-427A-9DF0-6850762BE234}">
  <sheetPr>
    <pageSetUpPr fitToPage="1"/>
  </sheetPr>
  <dimension ref="A1:K32"/>
  <sheetViews>
    <sheetView tabSelected="1" view="pageBreakPreview" zoomScaleNormal="100" zoomScaleSheetLayoutView="100" workbookViewId="0">
      <selection activeCell="I10" sqref="I10"/>
    </sheetView>
  </sheetViews>
  <sheetFormatPr defaultColWidth="9" defaultRowHeight="12" customHeight="1"/>
  <cols>
    <col min="1" max="3" width="1.6640625" style="433" customWidth="1"/>
    <col min="4" max="4" width="35.21875" style="433" customWidth="1"/>
    <col min="5" max="11" width="12.109375" style="433" customWidth="1"/>
    <col min="12" max="16384" width="9" style="433"/>
  </cols>
  <sheetData>
    <row r="1" spans="1:11" ht="12" customHeight="1">
      <c r="A1" s="446"/>
      <c r="B1" s="441"/>
      <c r="C1" s="441"/>
      <c r="D1" s="441"/>
      <c r="E1" s="431"/>
      <c r="F1" s="441"/>
      <c r="G1" s="441"/>
      <c r="H1" s="457"/>
      <c r="I1" s="457"/>
      <c r="J1" s="431"/>
      <c r="K1" s="457"/>
    </row>
    <row r="2" spans="1:11" ht="12" customHeight="1">
      <c r="A2" s="434" t="s">
        <v>183</v>
      </c>
      <c r="B2" s="434"/>
      <c r="C2" s="434"/>
      <c r="D2" s="434"/>
      <c r="E2" s="451">
        <v>2022.9</v>
      </c>
      <c r="F2" s="452">
        <v>2023.3</v>
      </c>
      <c r="G2" s="451">
        <v>2023.9</v>
      </c>
      <c r="H2" s="452">
        <v>2024.3</v>
      </c>
      <c r="I2" s="451">
        <v>2024.9</v>
      </c>
      <c r="J2" s="452">
        <v>2025.3</v>
      </c>
      <c r="K2" s="451">
        <v>2025.9</v>
      </c>
    </row>
    <row r="3" spans="1:11" ht="12" customHeight="1">
      <c r="A3" s="441"/>
      <c r="B3" s="441"/>
      <c r="C3" s="441"/>
      <c r="D3" s="441"/>
      <c r="E3" s="441"/>
      <c r="F3" s="441"/>
      <c r="G3" s="441"/>
      <c r="H3" s="441"/>
      <c r="I3" s="441"/>
      <c r="J3" s="441"/>
      <c r="K3" s="441"/>
    </row>
    <row r="4" spans="1:11" ht="12" customHeight="1">
      <c r="A4" s="441" t="s">
        <v>207</v>
      </c>
      <c r="B4" s="443"/>
      <c r="C4" s="443"/>
      <c r="D4" s="443"/>
      <c r="E4" s="554"/>
      <c r="F4" s="461"/>
      <c r="G4" s="554"/>
      <c r="H4" s="461"/>
      <c r="I4" s="554"/>
      <c r="J4" s="461"/>
      <c r="K4" s="554"/>
    </row>
    <row r="5" spans="1:11" ht="12" customHeight="1">
      <c r="A5" s="441"/>
      <c r="B5" s="441"/>
      <c r="C5" s="441"/>
      <c r="D5" s="441"/>
      <c r="E5" s="465"/>
      <c r="F5" s="465"/>
      <c r="G5" s="465"/>
      <c r="H5" s="465"/>
      <c r="I5" s="465"/>
      <c r="J5" s="465"/>
      <c r="K5" s="465"/>
    </row>
    <row r="6" spans="1:11" s="462" customFormat="1" ht="12" customHeight="1">
      <c r="C6" s="509" t="s">
        <v>208</v>
      </c>
      <c r="D6" s="509"/>
      <c r="E6" s="557">
        <v>313490</v>
      </c>
      <c r="F6" s="543">
        <v>711810</v>
      </c>
      <c r="G6" s="557">
        <v>358832</v>
      </c>
      <c r="H6" s="557">
        <v>793264</v>
      </c>
      <c r="I6" s="557">
        <v>380739</v>
      </c>
      <c r="J6" s="557">
        <v>847548</v>
      </c>
      <c r="K6" s="557">
        <v>424506</v>
      </c>
    </row>
    <row r="7" spans="1:11" s="462" customFormat="1" ht="12" customHeight="1">
      <c r="A7" s="464"/>
      <c r="C7" s="523" t="s">
        <v>209</v>
      </c>
      <c r="D7" s="523"/>
      <c r="E7" s="547">
        <v>16047</v>
      </c>
      <c r="F7" s="525" t="s">
        <v>206</v>
      </c>
      <c r="G7" s="525" t="s">
        <v>206</v>
      </c>
      <c r="H7" s="525" t="s">
        <v>206</v>
      </c>
      <c r="I7" s="525" t="s">
        <v>206</v>
      </c>
      <c r="J7" s="525" t="s">
        <v>206</v>
      </c>
      <c r="K7" s="525" t="s">
        <v>206</v>
      </c>
    </row>
    <row r="8" spans="1:11" s="462" customFormat="1" ht="12" customHeight="1">
      <c r="A8" s="464"/>
      <c r="C8" s="523" t="s">
        <v>842</v>
      </c>
      <c r="D8" s="523"/>
      <c r="E8" s="525" t="s">
        <v>206</v>
      </c>
      <c r="F8" s="525">
        <v>46429</v>
      </c>
      <c r="G8" s="525">
        <v>23842</v>
      </c>
      <c r="H8" s="525">
        <v>51461</v>
      </c>
      <c r="I8" s="525">
        <v>14648</v>
      </c>
      <c r="J8" s="525">
        <v>48539</v>
      </c>
      <c r="K8" s="525">
        <v>24357</v>
      </c>
    </row>
    <row r="9" spans="1:11" s="462" customFormat="1" ht="12" customHeight="1">
      <c r="A9" s="464"/>
      <c r="C9" s="523" t="s">
        <v>210</v>
      </c>
      <c r="D9" s="523"/>
      <c r="E9" s="510">
        <v>18843</v>
      </c>
      <c r="F9" s="541">
        <v>44739</v>
      </c>
      <c r="G9" s="541">
        <v>24318</v>
      </c>
      <c r="H9" s="547">
        <v>49439</v>
      </c>
      <c r="I9" s="547">
        <v>12898</v>
      </c>
      <c r="J9" s="510">
        <v>49756</v>
      </c>
      <c r="K9" s="547">
        <v>34999</v>
      </c>
    </row>
    <row r="10" spans="1:11" s="462" customFormat="1" ht="12" customHeight="1">
      <c r="A10" s="464"/>
      <c r="B10" s="455"/>
      <c r="C10" s="523" t="s">
        <v>211</v>
      </c>
      <c r="D10" s="523"/>
      <c r="E10" s="547">
        <v>13292</v>
      </c>
      <c r="F10" s="541">
        <v>33487</v>
      </c>
      <c r="G10" s="547">
        <v>16328</v>
      </c>
      <c r="H10" s="547">
        <v>32571</v>
      </c>
      <c r="I10" s="547">
        <v>8105</v>
      </c>
      <c r="J10" s="547">
        <v>32416</v>
      </c>
      <c r="K10" s="547">
        <v>24640</v>
      </c>
    </row>
    <row r="11" spans="1:11" s="462" customFormat="1" ht="12" customHeight="1">
      <c r="A11" s="464"/>
      <c r="B11" s="455"/>
      <c r="C11" s="524" t="s">
        <v>212</v>
      </c>
      <c r="D11" s="524"/>
      <c r="E11" s="476">
        <v>13071</v>
      </c>
      <c r="F11" s="555">
        <v>31859</v>
      </c>
      <c r="G11" s="476">
        <v>32067</v>
      </c>
      <c r="H11" s="549">
        <v>68198</v>
      </c>
      <c r="I11" s="476">
        <v>901</v>
      </c>
      <c r="J11" s="549">
        <v>33440</v>
      </c>
      <c r="K11" s="476">
        <v>35459</v>
      </c>
    </row>
    <row r="12" spans="1:11" ht="12" customHeight="1">
      <c r="A12" s="441"/>
      <c r="B12" s="441"/>
      <c r="C12" s="458"/>
      <c r="D12" s="458"/>
      <c r="E12" s="559"/>
      <c r="F12" s="558"/>
      <c r="G12" s="559"/>
      <c r="H12" s="559"/>
      <c r="I12" s="559"/>
      <c r="J12" s="497"/>
      <c r="K12" s="559"/>
    </row>
    <row r="13" spans="1:11" s="462" customFormat="1" ht="12" customHeight="1">
      <c r="A13" s="464"/>
      <c r="B13" s="455"/>
      <c r="C13" s="468" t="s">
        <v>213</v>
      </c>
      <c r="D13" s="468"/>
      <c r="E13" s="557">
        <v>354334</v>
      </c>
      <c r="F13" s="543">
        <v>374088</v>
      </c>
      <c r="G13" s="557">
        <v>390704</v>
      </c>
      <c r="H13" s="557">
        <v>419173</v>
      </c>
      <c r="I13" s="557">
        <v>514478</v>
      </c>
      <c r="J13" s="557">
        <v>542854</v>
      </c>
      <c r="K13" s="557">
        <v>577793</v>
      </c>
    </row>
    <row r="14" spans="1:11" s="462" customFormat="1" ht="12" customHeight="1">
      <c r="A14" s="464"/>
      <c r="B14" s="455"/>
      <c r="C14" s="524" t="s">
        <v>214</v>
      </c>
      <c r="D14" s="524"/>
      <c r="E14" s="476">
        <v>877946</v>
      </c>
      <c r="F14" s="555">
        <v>978063</v>
      </c>
      <c r="G14" s="476">
        <v>1021647</v>
      </c>
      <c r="H14" s="549">
        <v>1410557</v>
      </c>
      <c r="I14" s="476">
        <v>1363593</v>
      </c>
      <c r="J14" s="549">
        <v>1450738</v>
      </c>
      <c r="K14" s="476">
        <v>1825363</v>
      </c>
    </row>
    <row r="15" spans="1:11" s="462" customFormat="1" ht="12" customHeight="1">
      <c r="A15" s="464"/>
      <c r="B15" s="467"/>
      <c r="C15" s="463"/>
      <c r="D15" s="463"/>
      <c r="E15" s="464"/>
      <c r="F15" s="560"/>
      <c r="G15" s="464"/>
      <c r="H15" s="464"/>
      <c r="I15" s="464"/>
      <c r="J15" s="464"/>
      <c r="K15" s="464"/>
    </row>
    <row r="16" spans="1:11" s="462" customFormat="1" ht="12" customHeight="1">
      <c r="A16" s="464"/>
      <c r="B16" s="455"/>
      <c r="C16" s="468" t="s">
        <v>215</v>
      </c>
      <c r="D16" s="468"/>
      <c r="E16" s="557">
        <v>68436</v>
      </c>
      <c r="F16" s="543">
        <v>102764</v>
      </c>
      <c r="G16" s="557">
        <v>-680</v>
      </c>
      <c r="H16" s="557">
        <v>38916</v>
      </c>
      <c r="I16" s="557">
        <v>40207</v>
      </c>
      <c r="J16" s="557">
        <v>39604</v>
      </c>
      <c r="K16" s="557">
        <v>66818</v>
      </c>
    </row>
    <row r="17" spans="1:11" s="462" customFormat="1" ht="12" customHeight="1">
      <c r="A17" s="464"/>
      <c r="B17" s="455"/>
      <c r="C17" s="523" t="s">
        <v>216</v>
      </c>
      <c r="D17" s="523"/>
      <c r="E17" s="547">
        <v>-6710</v>
      </c>
      <c r="F17" s="541">
        <v>-22076</v>
      </c>
      <c r="G17" s="547">
        <v>-42396</v>
      </c>
      <c r="H17" s="547">
        <v>-279254</v>
      </c>
      <c r="I17" s="547">
        <v>-29980</v>
      </c>
      <c r="J17" s="547">
        <v>-27500</v>
      </c>
      <c r="K17" s="547">
        <v>-32213</v>
      </c>
    </row>
    <row r="18" spans="1:11" s="462" customFormat="1" ht="12" customHeight="1">
      <c r="A18" s="464"/>
      <c r="B18" s="467"/>
      <c r="C18" s="523" t="s">
        <v>217</v>
      </c>
      <c r="D18" s="523"/>
      <c r="E18" s="547">
        <v>-49172</v>
      </c>
      <c r="F18" s="541">
        <v>-67796</v>
      </c>
      <c r="G18" s="547">
        <v>43768</v>
      </c>
      <c r="H18" s="547">
        <v>261316</v>
      </c>
      <c r="I18" s="547">
        <v>-6672</v>
      </c>
      <c r="J18" s="547">
        <v>-4882</v>
      </c>
      <c r="K18" s="547">
        <v>22958</v>
      </c>
    </row>
    <row r="19" spans="1:11" s="462" customFormat="1" ht="12" customHeight="1">
      <c r="A19" s="464"/>
      <c r="B19" s="467"/>
      <c r="C19" s="524" t="s">
        <v>218</v>
      </c>
      <c r="D19" s="524"/>
      <c r="E19" s="476">
        <v>89163</v>
      </c>
      <c r="F19" s="555">
        <v>91938</v>
      </c>
      <c r="G19" s="476">
        <v>92959</v>
      </c>
      <c r="H19" s="549">
        <v>113421</v>
      </c>
      <c r="I19" s="476">
        <v>117030</v>
      </c>
      <c r="J19" s="549">
        <v>119502</v>
      </c>
      <c r="K19" s="476">
        <v>176970</v>
      </c>
    </row>
    <row r="20" spans="1:11" ht="12" customHeight="1">
      <c r="A20" s="441"/>
      <c r="B20" s="441"/>
      <c r="C20" s="458"/>
      <c r="D20" s="458"/>
      <c r="E20" s="558"/>
      <c r="F20" s="558"/>
      <c r="G20" s="558"/>
      <c r="H20" s="558"/>
      <c r="I20" s="558"/>
      <c r="J20" s="558"/>
      <c r="K20" s="558"/>
    </row>
    <row r="21" spans="1:11" ht="12" customHeight="1">
      <c r="A21" s="441"/>
      <c r="B21" s="441"/>
      <c r="C21" s="526" t="s">
        <v>845</v>
      </c>
      <c r="D21" s="526"/>
      <c r="E21" s="561" t="s">
        <v>206</v>
      </c>
      <c r="F21" s="561">
        <v>9.4</v>
      </c>
      <c r="G21" s="561" t="s">
        <v>206</v>
      </c>
      <c r="H21" s="562">
        <v>8.6</v>
      </c>
      <c r="I21" s="562" t="s">
        <v>206</v>
      </c>
      <c r="J21" s="561">
        <v>7.1</v>
      </c>
      <c r="K21" s="562" t="s">
        <v>206</v>
      </c>
    </row>
    <row r="22" spans="1:11" ht="12" customHeight="1">
      <c r="A22" s="441"/>
      <c r="B22" s="441"/>
      <c r="C22" s="526" t="s">
        <v>846</v>
      </c>
      <c r="D22" s="586"/>
      <c r="E22" s="563" t="s">
        <v>206</v>
      </c>
      <c r="F22" s="563">
        <v>9.4</v>
      </c>
      <c r="G22" s="563" t="s">
        <v>206</v>
      </c>
      <c r="H22" s="563">
        <v>8.6</v>
      </c>
      <c r="I22" s="561" t="s">
        <v>206</v>
      </c>
      <c r="J22" s="561">
        <v>7.5</v>
      </c>
      <c r="K22" s="561" t="s">
        <v>206</v>
      </c>
    </row>
    <row r="23" spans="1:11" ht="12" customHeight="1">
      <c r="A23" s="441"/>
      <c r="B23" s="441"/>
      <c r="C23" s="527" t="s">
        <v>219</v>
      </c>
      <c r="D23" s="527"/>
      <c r="E23" s="564">
        <v>39.299999999999997</v>
      </c>
      <c r="F23" s="564">
        <v>37</v>
      </c>
      <c r="G23" s="564">
        <v>36.799999999999997</v>
      </c>
      <c r="H23" s="565">
        <v>28.4</v>
      </c>
      <c r="I23" s="564">
        <v>36.200000000000003</v>
      </c>
      <c r="J23" s="563">
        <v>35.799999999999997</v>
      </c>
      <c r="K23" s="564">
        <v>30</v>
      </c>
    </row>
    <row r="24" spans="1:11" ht="12" customHeight="1">
      <c r="A24" s="441"/>
      <c r="B24" s="441"/>
      <c r="C24" s="527" t="s">
        <v>220</v>
      </c>
      <c r="D24" s="527"/>
      <c r="E24" s="617">
        <v>0.45</v>
      </c>
      <c r="F24" s="566">
        <v>0.4</v>
      </c>
      <c r="G24" s="617">
        <v>0.6</v>
      </c>
      <c r="H24" s="566">
        <v>1.1000000000000001</v>
      </c>
      <c r="I24" s="617">
        <v>0.8</v>
      </c>
      <c r="J24" s="566">
        <v>0.8</v>
      </c>
      <c r="K24" s="617">
        <v>1</v>
      </c>
    </row>
    <row r="25" spans="1:11" ht="12" customHeight="1">
      <c r="A25" s="441"/>
      <c r="B25" s="441"/>
      <c r="C25" s="528" t="s">
        <v>221</v>
      </c>
      <c r="D25" s="529"/>
      <c r="E25" s="618" t="s">
        <v>32</v>
      </c>
      <c r="F25" s="568">
        <v>7.9</v>
      </c>
      <c r="G25" s="618" t="s">
        <v>206</v>
      </c>
      <c r="H25" s="569">
        <v>11.1</v>
      </c>
      <c r="I25" s="618" t="s">
        <v>206</v>
      </c>
      <c r="J25" s="567">
        <v>9.6999999999999993</v>
      </c>
      <c r="K25" s="618" t="s">
        <v>206</v>
      </c>
    </row>
    <row r="26" spans="1:11" ht="12" customHeight="1">
      <c r="A26" s="441"/>
      <c r="B26" s="441"/>
      <c r="C26" s="442" t="s">
        <v>222</v>
      </c>
      <c r="D26" s="442"/>
      <c r="E26" s="616" t="s">
        <v>32</v>
      </c>
      <c r="F26" s="530">
        <v>42.5</v>
      </c>
      <c r="G26" s="616" t="s">
        <v>206</v>
      </c>
      <c r="H26" s="570">
        <v>46</v>
      </c>
      <c r="I26" s="616" t="s">
        <v>206</v>
      </c>
      <c r="J26" s="530">
        <v>48.3</v>
      </c>
      <c r="K26" s="616" t="s">
        <v>206</v>
      </c>
    </row>
    <row r="27" spans="1:11" ht="12" customHeight="1">
      <c r="A27" s="441"/>
      <c r="B27" s="441"/>
      <c r="C27" s="528" t="s">
        <v>223</v>
      </c>
      <c r="D27" s="528"/>
      <c r="E27" s="619" t="s">
        <v>32</v>
      </c>
      <c r="F27" s="571">
        <v>72.900000000000006</v>
      </c>
      <c r="G27" s="619" t="s">
        <v>206</v>
      </c>
      <c r="H27" s="572">
        <v>79.099999999999994</v>
      </c>
      <c r="I27" s="619" t="s">
        <v>206</v>
      </c>
      <c r="J27" s="571">
        <v>48.3</v>
      </c>
      <c r="K27" s="619" t="s">
        <v>206</v>
      </c>
    </row>
    <row r="28" spans="1:11" ht="12" customHeight="1">
      <c r="A28" s="441"/>
      <c r="B28" s="441"/>
      <c r="C28" s="530" t="s">
        <v>224</v>
      </c>
      <c r="D28" s="442"/>
      <c r="E28" s="620" t="s">
        <v>32</v>
      </c>
      <c r="F28" s="574">
        <v>1432.7</v>
      </c>
      <c r="G28" s="620" t="s">
        <v>206</v>
      </c>
      <c r="H28" s="573">
        <v>1619.25</v>
      </c>
      <c r="I28" s="620" t="s">
        <v>206</v>
      </c>
      <c r="J28" s="573">
        <v>1682.05</v>
      </c>
      <c r="K28" s="620" t="s">
        <v>206</v>
      </c>
    </row>
    <row r="29" spans="1:11" ht="12" customHeight="1">
      <c r="A29" s="441"/>
      <c r="B29" s="441"/>
      <c r="C29" s="528" t="s">
        <v>225</v>
      </c>
      <c r="D29" s="528"/>
      <c r="E29" s="580">
        <v>50.65</v>
      </c>
      <c r="F29" s="576">
        <v>129.35</v>
      </c>
      <c r="G29" s="580">
        <v>64.92</v>
      </c>
      <c r="H29" s="577">
        <v>130.51</v>
      </c>
      <c r="I29" s="580">
        <v>31.09</v>
      </c>
      <c r="J29" s="575">
        <v>124.15</v>
      </c>
      <c r="K29" s="580">
        <v>93.39</v>
      </c>
    </row>
    <row r="30" spans="1:11" ht="12" customHeight="1">
      <c r="A30" s="441"/>
      <c r="B30" s="441"/>
      <c r="C30" s="441"/>
      <c r="D30" s="441"/>
      <c r="E30" s="488"/>
      <c r="F30" s="578"/>
      <c r="G30" s="578"/>
      <c r="H30" s="579"/>
      <c r="I30" s="579"/>
      <c r="J30" s="488"/>
      <c r="K30" s="579"/>
    </row>
    <row r="31" spans="1:11" ht="12" customHeight="1">
      <c r="A31" s="430" t="s">
        <v>226</v>
      </c>
      <c r="B31" s="536"/>
      <c r="C31" s="430" t="s">
        <v>227</v>
      </c>
      <c r="D31" s="536"/>
      <c r="E31" s="488"/>
      <c r="F31" s="489"/>
      <c r="G31" s="489"/>
      <c r="H31" s="490"/>
      <c r="I31" s="490"/>
      <c r="J31" s="488"/>
      <c r="K31" s="490"/>
    </row>
    <row r="32" spans="1:11" ht="12" customHeight="1">
      <c r="A32" s="441"/>
      <c r="B32" s="441"/>
      <c r="C32" s="441"/>
      <c r="D32" s="441"/>
      <c r="E32" s="436"/>
      <c r="F32" s="436"/>
      <c r="G32" s="436"/>
      <c r="H32" s="436"/>
      <c r="I32" s="436"/>
      <c r="J32" s="436"/>
      <c r="K32" s="436"/>
    </row>
  </sheetData>
  <phoneticPr fontId="2"/>
  <pageMargins left="0.70866141732283472" right="0.70866141732283472" top="0.74803149606299213" bottom="0.74803149606299213" header="0.31496062992125984" footer="0.31496062992125984"/>
  <pageSetup paperSize="9" scale="71" orientation="portrait" r:id="rId1"/>
  <headerFoot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D8657-753A-4A9B-BB6E-22353B2903B1}">
  <sheetPr>
    <pageSetUpPr fitToPage="1"/>
  </sheetPr>
  <dimension ref="A1:S16"/>
  <sheetViews>
    <sheetView tabSelected="1" view="pageBreakPreview" zoomScaleNormal="100" zoomScaleSheetLayoutView="100" workbookViewId="0">
      <selection activeCell="I10" sqref="I10"/>
    </sheetView>
  </sheetViews>
  <sheetFormatPr defaultColWidth="9" defaultRowHeight="12" customHeight="1"/>
  <cols>
    <col min="1" max="3" width="1.6640625" style="433" customWidth="1"/>
    <col min="4" max="4" width="24.77734375" style="433" customWidth="1"/>
    <col min="5" max="11" width="12.109375" style="433" customWidth="1"/>
    <col min="12" max="12" width="9" style="433"/>
    <col min="13" max="13" width="9.109375" style="433" bestFit="1" customWidth="1"/>
    <col min="14" max="247" width="9" style="433"/>
    <col min="248" max="248" width="0.6640625" style="433" customWidth="1"/>
    <col min="249" max="252" width="1.21875" style="433" customWidth="1"/>
    <col min="253" max="253" width="24.77734375" style="433" customWidth="1"/>
    <col min="254" max="262" width="10" style="433" customWidth="1"/>
    <col min="263" max="263" width="0.6640625" style="433" customWidth="1"/>
    <col min="264" max="264" width="10" style="433" customWidth="1"/>
    <col min="265" max="265" width="0.6640625" style="433" customWidth="1"/>
    <col min="266" max="503" width="9" style="433"/>
    <col min="504" max="504" width="0.6640625" style="433" customWidth="1"/>
    <col min="505" max="508" width="1.21875" style="433" customWidth="1"/>
    <col min="509" max="509" width="24.77734375" style="433" customWidth="1"/>
    <col min="510" max="518" width="10" style="433" customWidth="1"/>
    <col min="519" max="519" width="0.6640625" style="433" customWidth="1"/>
    <col min="520" max="520" width="10" style="433" customWidth="1"/>
    <col min="521" max="521" width="0.6640625" style="433" customWidth="1"/>
    <col min="522" max="759" width="9" style="433"/>
    <col min="760" max="760" width="0.6640625" style="433" customWidth="1"/>
    <col min="761" max="764" width="1.21875" style="433" customWidth="1"/>
    <col min="765" max="765" width="24.77734375" style="433" customWidth="1"/>
    <col min="766" max="774" width="10" style="433" customWidth="1"/>
    <col min="775" max="775" width="0.6640625" style="433" customWidth="1"/>
    <col min="776" max="776" width="10" style="433" customWidth="1"/>
    <col min="777" max="777" width="0.6640625" style="433" customWidth="1"/>
    <col min="778" max="1015" width="9" style="433"/>
    <col min="1016" max="1016" width="0.6640625" style="433" customWidth="1"/>
    <col min="1017" max="1020" width="1.21875" style="433" customWidth="1"/>
    <col min="1021" max="1021" width="24.77734375" style="433" customWidth="1"/>
    <col min="1022" max="1030" width="10" style="433" customWidth="1"/>
    <col min="1031" max="1031" width="0.6640625" style="433" customWidth="1"/>
    <col min="1032" max="1032" width="10" style="433" customWidth="1"/>
    <col min="1033" max="1033" width="0.6640625" style="433" customWidth="1"/>
    <col min="1034" max="1271" width="9" style="433"/>
    <col min="1272" max="1272" width="0.6640625" style="433" customWidth="1"/>
    <col min="1273" max="1276" width="1.21875" style="433" customWidth="1"/>
    <col min="1277" max="1277" width="24.77734375" style="433" customWidth="1"/>
    <col min="1278" max="1286" width="10" style="433" customWidth="1"/>
    <col min="1287" max="1287" width="0.6640625" style="433" customWidth="1"/>
    <col min="1288" max="1288" width="10" style="433" customWidth="1"/>
    <col min="1289" max="1289" width="0.6640625" style="433" customWidth="1"/>
    <col min="1290" max="1527" width="9" style="433"/>
    <col min="1528" max="1528" width="0.6640625" style="433" customWidth="1"/>
    <col min="1529" max="1532" width="1.21875" style="433" customWidth="1"/>
    <col min="1533" max="1533" width="24.77734375" style="433" customWidth="1"/>
    <col min="1534" max="1542" width="10" style="433" customWidth="1"/>
    <col min="1543" max="1543" width="0.6640625" style="433" customWidth="1"/>
    <col min="1544" max="1544" width="10" style="433" customWidth="1"/>
    <col min="1545" max="1545" width="0.6640625" style="433" customWidth="1"/>
    <col min="1546" max="1783" width="9" style="433"/>
    <col min="1784" max="1784" width="0.6640625" style="433" customWidth="1"/>
    <col min="1785" max="1788" width="1.21875" style="433" customWidth="1"/>
    <col min="1789" max="1789" width="24.77734375" style="433" customWidth="1"/>
    <col min="1790" max="1798" width="10" style="433" customWidth="1"/>
    <col min="1799" max="1799" width="0.6640625" style="433" customWidth="1"/>
    <col min="1800" max="1800" width="10" style="433" customWidth="1"/>
    <col min="1801" max="1801" width="0.6640625" style="433" customWidth="1"/>
    <col min="1802" max="2039" width="9" style="433"/>
    <col min="2040" max="2040" width="0.6640625" style="433" customWidth="1"/>
    <col min="2041" max="2044" width="1.21875" style="433" customWidth="1"/>
    <col min="2045" max="2045" width="24.77734375" style="433" customWidth="1"/>
    <col min="2046" max="2054" width="10" style="433" customWidth="1"/>
    <col min="2055" max="2055" width="0.6640625" style="433" customWidth="1"/>
    <col min="2056" max="2056" width="10" style="433" customWidth="1"/>
    <col min="2057" max="2057" width="0.6640625" style="433" customWidth="1"/>
    <col min="2058" max="2295" width="9" style="433"/>
    <col min="2296" max="2296" width="0.6640625" style="433" customWidth="1"/>
    <col min="2297" max="2300" width="1.21875" style="433" customWidth="1"/>
    <col min="2301" max="2301" width="24.77734375" style="433" customWidth="1"/>
    <col min="2302" max="2310" width="10" style="433" customWidth="1"/>
    <col min="2311" max="2311" width="0.6640625" style="433" customWidth="1"/>
    <col min="2312" max="2312" width="10" style="433" customWidth="1"/>
    <col min="2313" max="2313" width="0.6640625" style="433" customWidth="1"/>
    <col min="2314" max="2551" width="9" style="433"/>
    <col min="2552" max="2552" width="0.6640625" style="433" customWidth="1"/>
    <col min="2553" max="2556" width="1.21875" style="433" customWidth="1"/>
    <col min="2557" max="2557" width="24.77734375" style="433" customWidth="1"/>
    <col min="2558" max="2566" width="10" style="433" customWidth="1"/>
    <col min="2567" max="2567" width="0.6640625" style="433" customWidth="1"/>
    <col min="2568" max="2568" width="10" style="433" customWidth="1"/>
    <col min="2569" max="2569" width="0.6640625" style="433" customWidth="1"/>
    <col min="2570" max="2807" width="9" style="433"/>
    <col min="2808" max="2808" width="0.6640625" style="433" customWidth="1"/>
    <col min="2809" max="2812" width="1.21875" style="433" customWidth="1"/>
    <col min="2813" max="2813" width="24.77734375" style="433" customWidth="1"/>
    <col min="2814" max="2822" width="10" style="433" customWidth="1"/>
    <col min="2823" max="2823" width="0.6640625" style="433" customWidth="1"/>
    <col min="2824" max="2824" width="10" style="433" customWidth="1"/>
    <col min="2825" max="2825" width="0.6640625" style="433" customWidth="1"/>
    <col min="2826" max="3063" width="9" style="433"/>
    <col min="3064" max="3064" width="0.6640625" style="433" customWidth="1"/>
    <col min="3065" max="3068" width="1.21875" style="433" customWidth="1"/>
    <col min="3069" max="3069" width="24.77734375" style="433" customWidth="1"/>
    <col min="3070" max="3078" width="10" style="433" customWidth="1"/>
    <col min="3079" max="3079" width="0.6640625" style="433" customWidth="1"/>
    <col min="3080" max="3080" width="10" style="433" customWidth="1"/>
    <col min="3081" max="3081" width="0.6640625" style="433" customWidth="1"/>
    <col min="3082" max="3319" width="9" style="433"/>
    <col min="3320" max="3320" width="0.6640625" style="433" customWidth="1"/>
    <col min="3321" max="3324" width="1.21875" style="433" customWidth="1"/>
    <col min="3325" max="3325" width="24.77734375" style="433" customWidth="1"/>
    <col min="3326" max="3334" width="10" style="433" customWidth="1"/>
    <col min="3335" max="3335" width="0.6640625" style="433" customWidth="1"/>
    <col min="3336" max="3336" width="10" style="433" customWidth="1"/>
    <col min="3337" max="3337" width="0.6640625" style="433" customWidth="1"/>
    <col min="3338" max="3575" width="9" style="433"/>
    <col min="3576" max="3576" width="0.6640625" style="433" customWidth="1"/>
    <col min="3577" max="3580" width="1.21875" style="433" customWidth="1"/>
    <col min="3581" max="3581" width="24.77734375" style="433" customWidth="1"/>
    <col min="3582" max="3590" width="10" style="433" customWidth="1"/>
    <col min="3591" max="3591" width="0.6640625" style="433" customWidth="1"/>
    <col min="3592" max="3592" width="10" style="433" customWidth="1"/>
    <col min="3593" max="3593" width="0.6640625" style="433" customWidth="1"/>
    <col min="3594" max="3831" width="9" style="433"/>
    <col min="3832" max="3832" width="0.6640625" style="433" customWidth="1"/>
    <col min="3833" max="3836" width="1.21875" style="433" customWidth="1"/>
    <col min="3837" max="3837" width="24.77734375" style="433" customWidth="1"/>
    <col min="3838" max="3846" width="10" style="433" customWidth="1"/>
    <col min="3847" max="3847" width="0.6640625" style="433" customWidth="1"/>
    <col min="3848" max="3848" width="10" style="433" customWidth="1"/>
    <col min="3849" max="3849" width="0.6640625" style="433" customWidth="1"/>
    <col min="3850" max="4087" width="9" style="433"/>
    <col min="4088" max="4088" width="0.6640625" style="433" customWidth="1"/>
    <col min="4089" max="4092" width="1.21875" style="433" customWidth="1"/>
    <col min="4093" max="4093" width="24.77734375" style="433" customWidth="1"/>
    <col min="4094" max="4102" width="10" style="433" customWidth="1"/>
    <col min="4103" max="4103" width="0.6640625" style="433" customWidth="1"/>
    <col min="4104" max="4104" width="10" style="433" customWidth="1"/>
    <col min="4105" max="4105" width="0.6640625" style="433" customWidth="1"/>
    <col min="4106" max="4343" width="9" style="433"/>
    <col min="4344" max="4344" width="0.6640625" style="433" customWidth="1"/>
    <col min="4345" max="4348" width="1.21875" style="433" customWidth="1"/>
    <col min="4349" max="4349" width="24.77734375" style="433" customWidth="1"/>
    <col min="4350" max="4358" width="10" style="433" customWidth="1"/>
    <col min="4359" max="4359" width="0.6640625" style="433" customWidth="1"/>
    <col min="4360" max="4360" width="10" style="433" customWidth="1"/>
    <col min="4361" max="4361" width="0.6640625" style="433" customWidth="1"/>
    <col min="4362" max="4599" width="9" style="433"/>
    <col min="4600" max="4600" width="0.6640625" style="433" customWidth="1"/>
    <col min="4601" max="4604" width="1.21875" style="433" customWidth="1"/>
    <col min="4605" max="4605" width="24.77734375" style="433" customWidth="1"/>
    <col min="4606" max="4614" width="10" style="433" customWidth="1"/>
    <col min="4615" max="4615" width="0.6640625" style="433" customWidth="1"/>
    <col min="4616" max="4616" width="10" style="433" customWidth="1"/>
    <col min="4617" max="4617" width="0.6640625" style="433" customWidth="1"/>
    <col min="4618" max="4855" width="9" style="433"/>
    <col min="4856" max="4856" width="0.6640625" style="433" customWidth="1"/>
    <col min="4857" max="4860" width="1.21875" style="433" customWidth="1"/>
    <col min="4861" max="4861" width="24.77734375" style="433" customWidth="1"/>
    <col min="4862" max="4870" width="10" style="433" customWidth="1"/>
    <col min="4871" max="4871" width="0.6640625" style="433" customWidth="1"/>
    <col min="4872" max="4872" width="10" style="433" customWidth="1"/>
    <col min="4873" max="4873" width="0.6640625" style="433" customWidth="1"/>
    <col min="4874" max="5111" width="9" style="433"/>
    <col min="5112" max="5112" width="0.6640625" style="433" customWidth="1"/>
    <col min="5113" max="5116" width="1.21875" style="433" customWidth="1"/>
    <col min="5117" max="5117" width="24.77734375" style="433" customWidth="1"/>
    <col min="5118" max="5126" width="10" style="433" customWidth="1"/>
    <col min="5127" max="5127" width="0.6640625" style="433" customWidth="1"/>
    <col min="5128" max="5128" width="10" style="433" customWidth="1"/>
    <col min="5129" max="5129" width="0.6640625" style="433" customWidth="1"/>
    <col min="5130" max="5367" width="9" style="433"/>
    <col min="5368" max="5368" width="0.6640625" style="433" customWidth="1"/>
    <col min="5369" max="5372" width="1.21875" style="433" customWidth="1"/>
    <col min="5373" max="5373" width="24.77734375" style="433" customWidth="1"/>
    <col min="5374" max="5382" width="10" style="433" customWidth="1"/>
    <col min="5383" max="5383" width="0.6640625" style="433" customWidth="1"/>
    <col min="5384" max="5384" width="10" style="433" customWidth="1"/>
    <col min="5385" max="5385" width="0.6640625" style="433" customWidth="1"/>
    <col min="5386" max="5623" width="9" style="433"/>
    <col min="5624" max="5624" width="0.6640625" style="433" customWidth="1"/>
    <col min="5625" max="5628" width="1.21875" style="433" customWidth="1"/>
    <col min="5629" max="5629" width="24.77734375" style="433" customWidth="1"/>
    <col min="5630" max="5638" width="10" style="433" customWidth="1"/>
    <col min="5639" max="5639" width="0.6640625" style="433" customWidth="1"/>
    <col min="5640" max="5640" width="10" style="433" customWidth="1"/>
    <col min="5641" max="5641" width="0.6640625" style="433" customWidth="1"/>
    <col min="5642" max="5879" width="9" style="433"/>
    <col min="5880" max="5880" width="0.6640625" style="433" customWidth="1"/>
    <col min="5881" max="5884" width="1.21875" style="433" customWidth="1"/>
    <col min="5885" max="5885" width="24.77734375" style="433" customWidth="1"/>
    <col min="5886" max="5894" width="10" style="433" customWidth="1"/>
    <col min="5895" max="5895" width="0.6640625" style="433" customWidth="1"/>
    <col min="5896" max="5896" width="10" style="433" customWidth="1"/>
    <col min="5897" max="5897" width="0.6640625" style="433" customWidth="1"/>
    <col min="5898" max="6135" width="9" style="433"/>
    <col min="6136" max="6136" width="0.6640625" style="433" customWidth="1"/>
    <col min="6137" max="6140" width="1.21875" style="433" customWidth="1"/>
    <col min="6141" max="6141" width="24.77734375" style="433" customWidth="1"/>
    <col min="6142" max="6150" width="10" style="433" customWidth="1"/>
    <col min="6151" max="6151" width="0.6640625" style="433" customWidth="1"/>
    <col min="6152" max="6152" width="10" style="433" customWidth="1"/>
    <col min="6153" max="6153" width="0.6640625" style="433" customWidth="1"/>
    <col min="6154" max="6391" width="9" style="433"/>
    <col min="6392" max="6392" width="0.6640625" style="433" customWidth="1"/>
    <col min="6393" max="6396" width="1.21875" style="433" customWidth="1"/>
    <col min="6397" max="6397" width="24.77734375" style="433" customWidth="1"/>
    <col min="6398" max="6406" width="10" style="433" customWidth="1"/>
    <col min="6407" max="6407" width="0.6640625" style="433" customWidth="1"/>
    <col min="6408" max="6408" width="10" style="433" customWidth="1"/>
    <col min="6409" max="6409" width="0.6640625" style="433" customWidth="1"/>
    <col min="6410" max="6647" width="9" style="433"/>
    <col min="6648" max="6648" width="0.6640625" style="433" customWidth="1"/>
    <col min="6649" max="6652" width="1.21875" style="433" customWidth="1"/>
    <col min="6653" max="6653" width="24.77734375" style="433" customWidth="1"/>
    <col min="6654" max="6662" width="10" style="433" customWidth="1"/>
    <col min="6663" max="6663" width="0.6640625" style="433" customWidth="1"/>
    <col min="6664" max="6664" width="10" style="433" customWidth="1"/>
    <col min="6665" max="6665" width="0.6640625" style="433" customWidth="1"/>
    <col min="6666" max="6903" width="9" style="433"/>
    <col min="6904" max="6904" width="0.6640625" style="433" customWidth="1"/>
    <col min="6905" max="6908" width="1.21875" style="433" customWidth="1"/>
    <col min="6909" max="6909" width="24.77734375" style="433" customWidth="1"/>
    <col min="6910" max="6918" width="10" style="433" customWidth="1"/>
    <col min="6919" max="6919" width="0.6640625" style="433" customWidth="1"/>
    <col min="6920" max="6920" width="10" style="433" customWidth="1"/>
    <col min="6921" max="6921" width="0.6640625" style="433" customWidth="1"/>
    <col min="6922" max="7159" width="9" style="433"/>
    <col min="7160" max="7160" width="0.6640625" style="433" customWidth="1"/>
    <col min="7161" max="7164" width="1.21875" style="433" customWidth="1"/>
    <col min="7165" max="7165" width="24.77734375" style="433" customWidth="1"/>
    <col min="7166" max="7174" width="10" style="433" customWidth="1"/>
    <col min="7175" max="7175" width="0.6640625" style="433" customWidth="1"/>
    <col min="7176" max="7176" width="10" style="433" customWidth="1"/>
    <col min="7177" max="7177" width="0.6640625" style="433" customWidth="1"/>
    <col min="7178" max="7415" width="9" style="433"/>
    <col min="7416" max="7416" width="0.6640625" style="433" customWidth="1"/>
    <col min="7417" max="7420" width="1.21875" style="433" customWidth="1"/>
    <col min="7421" max="7421" width="24.77734375" style="433" customWidth="1"/>
    <col min="7422" max="7430" width="10" style="433" customWidth="1"/>
    <col min="7431" max="7431" width="0.6640625" style="433" customWidth="1"/>
    <col min="7432" max="7432" width="10" style="433" customWidth="1"/>
    <col min="7433" max="7433" width="0.6640625" style="433" customWidth="1"/>
    <col min="7434" max="7671" width="9" style="433"/>
    <col min="7672" max="7672" width="0.6640625" style="433" customWidth="1"/>
    <col min="7673" max="7676" width="1.21875" style="433" customWidth="1"/>
    <col min="7677" max="7677" width="24.77734375" style="433" customWidth="1"/>
    <col min="7678" max="7686" width="10" style="433" customWidth="1"/>
    <col min="7687" max="7687" width="0.6640625" style="433" customWidth="1"/>
    <col min="7688" max="7688" width="10" style="433" customWidth="1"/>
    <col min="7689" max="7689" width="0.6640625" style="433" customWidth="1"/>
    <col min="7690" max="7927" width="9" style="433"/>
    <col min="7928" max="7928" width="0.6640625" style="433" customWidth="1"/>
    <col min="7929" max="7932" width="1.21875" style="433" customWidth="1"/>
    <col min="7933" max="7933" width="24.77734375" style="433" customWidth="1"/>
    <col min="7934" max="7942" width="10" style="433" customWidth="1"/>
    <col min="7943" max="7943" width="0.6640625" style="433" customWidth="1"/>
    <col min="7944" max="7944" width="10" style="433" customWidth="1"/>
    <col min="7945" max="7945" width="0.6640625" style="433" customWidth="1"/>
    <col min="7946" max="8183" width="9" style="433"/>
    <col min="8184" max="8184" width="0.6640625" style="433" customWidth="1"/>
    <col min="8185" max="8188" width="1.21875" style="433" customWidth="1"/>
    <col min="8189" max="8189" width="24.77734375" style="433" customWidth="1"/>
    <col min="8190" max="8198" width="10" style="433" customWidth="1"/>
    <col min="8199" max="8199" width="0.6640625" style="433" customWidth="1"/>
    <col min="8200" max="8200" width="10" style="433" customWidth="1"/>
    <col min="8201" max="8201" width="0.6640625" style="433" customWidth="1"/>
    <col min="8202" max="8439" width="9" style="433"/>
    <col min="8440" max="8440" width="0.6640625" style="433" customWidth="1"/>
    <col min="8441" max="8444" width="1.21875" style="433" customWidth="1"/>
    <col min="8445" max="8445" width="24.77734375" style="433" customWidth="1"/>
    <col min="8446" max="8454" width="10" style="433" customWidth="1"/>
    <col min="8455" max="8455" width="0.6640625" style="433" customWidth="1"/>
    <col min="8456" max="8456" width="10" style="433" customWidth="1"/>
    <col min="8457" max="8457" width="0.6640625" style="433" customWidth="1"/>
    <col min="8458" max="8695" width="9" style="433"/>
    <col min="8696" max="8696" width="0.6640625" style="433" customWidth="1"/>
    <col min="8697" max="8700" width="1.21875" style="433" customWidth="1"/>
    <col min="8701" max="8701" width="24.77734375" style="433" customWidth="1"/>
    <col min="8702" max="8710" width="10" style="433" customWidth="1"/>
    <col min="8711" max="8711" width="0.6640625" style="433" customWidth="1"/>
    <col min="8712" max="8712" width="10" style="433" customWidth="1"/>
    <col min="8713" max="8713" width="0.6640625" style="433" customWidth="1"/>
    <col min="8714" max="8951" width="9" style="433"/>
    <col min="8952" max="8952" width="0.6640625" style="433" customWidth="1"/>
    <col min="8953" max="8956" width="1.21875" style="433" customWidth="1"/>
    <col min="8957" max="8957" width="24.77734375" style="433" customWidth="1"/>
    <col min="8958" max="8966" width="10" style="433" customWidth="1"/>
    <col min="8967" max="8967" width="0.6640625" style="433" customWidth="1"/>
    <col min="8968" max="8968" width="10" style="433" customWidth="1"/>
    <col min="8969" max="8969" width="0.6640625" style="433" customWidth="1"/>
    <col min="8970" max="9207" width="9" style="433"/>
    <col min="9208" max="9208" width="0.6640625" style="433" customWidth="1"/>
    <col min="9209" max="9212" width="1.21875" style="433" customWidth="1"/>
    <col min="9213" max="9213" width="24.77734375" style="433" customWidth="1"/>
    <col min="9214" max="9222" width="10" style="433" customWidth="1"/>
    <col min="9223" max="9223" width="0.6640625" style="433" customWidth="1"/>
    <col min="9224" max="9224" width="10" style="433" customWidth="1"/>
    <col min="9225" max="9225" width="0.6640625" style="433" customWidth="1"/>
    <col min="9226" max="9463" width="9" style="433"/>
    <col min="9464" max="9464" width="0.6640625" style="433" customWidth="1"/>
    <col min="9465" max="9468" width="1.21875" style="433" customWidth="1"/>
    <col min="9469" max="9469" width="24.77734375" style="433" customWidth="1"/>
    <col min="9470" max="9478" width="10" style="433" customWidth="1"/>
    <col min="9479" max="9479" width="0.6640625" style="433" customWidth="1"/>
    <col min="9480" max="9480" width="10" style="433" customWidth="1"/>
    <col min="9481" max="9481" width="0.6640625" style="433" customWidth="1"/>
    <col min="9482" max="9719" width="9" style="433"/>
    <col min="9720" max="9720" width="0.6640625" style="433" customWidth="1"/>
    <col min="9721" max="9724" width="1.21875" style="433" customWidth="1"/>
    <col min="9725" max="9725" width="24.77734375" style="433" customWidth="1"/>
    <col min="9726" max="9734" width="10" style="433" customWidth="1"/>
    <col min="9735" max="9735" width="0.6640625" style="433" customWidth="1"/>
    <col min="9736" max="9736" width="10" style="433" customWidth="1"/>
    <col min="9737" max="9737" width="0.6640625" style="433" customWidth="1"/>
    <col min="9738" max="9975" width="9" style="433"/>
    <col min="9976" max="9976" width="0.6640625" style="433" customWidth="1"/>
    <col min="9977" max="9980" width="1.21875" style="433" customWidth="1"/>
    <col min="9981" max="9981" width="24.77734375" style="433" customWidth="1"/>
    <col min="9982" max="9990" width="10" style="433" customWidth="1"/>
    <col min="9991" max="9991" width="0.6640625" style="433" customWidth="1"/>
    <col min="9992" max="9992" width="10" style="433" customWidth="1"/>
    <col min="9993" max="9993" width="0.6640625" style="433" customWidth="1"/>
    <col min="9994" max="10231" width="9" style="433"/>
    <col min="10232" max="10232" width="0.6640625" style="433" customWidth="1"/>
    <col min="10233" max="10236" width="1.21875" style="433" customWidth="1"/>
    <col min="10237" max="10237" width="24.77734375" style="433" customWidth="1"/>
    <col min="10238" max="10246" width="10" style="433" customWidth="1"/>
    <col min="10247" max="10247" width="0.6640625" style="433" customWidth="1"/>
    <col min="10248" max="10248" width="10" style="433" customWidth="1"/>
    <col min="10249" max="10249" width="0.6640625" style="433" customWidth="1"/>
    <col min="10250" max="10487" width="9" style="433"/>
    <col min="10488" max="10488" width="0.6640625" style="433" customWidth="1"/>
    <col min="10489" max="10492" width="1.21875" style="433" customWidth="1"/>
    <col min="10493" max="10493" width="24.77734375" style="433" customWidth="1"/>
    <col min="10494" max="10502" width="10" style="433" customWidth="1"/>
    <col min="10503" max="10503" width="0.6640625" style="433" customWidth="1"/>
    <col min="10504" max="10504" width="10" style="433" customWidth="1"/>
    <col min="10505" max="10505" width="0.6640625" style="433" customWidth="1"/>
    <col min="10506" max="10743" width="9" style="433"/>
    <col min="10744" max="10744" width="0.6640625" style="433" customWidth="1"/>
    <col min="10745" max="10748" width="1.21875" style="433" customWidth="1"/>
    <col min="10749" max="10749" width="24.77734375" style="433" customWidth="1"/>
    <col min="10750" max="10758" width="10" style="433" customWidth="1"/>
    <col min="10759" max="10759" width="0.6640625" style="433" customWidth="1"/>
    <col min="10760" max="10760" width="10" style="433" customWidth="1"/>
    <col min="10761" max="10761" width="0.6640625" style="433" customWidth="1"/>
    <col min="10762" max="10999" width="9" style="433"/>
    <col min="11000" max="11000" width="0.6640625" style="433" customWidth="1"/>
    <col min="11001" max="11004" width="1.21875" style="433" customWidth="1"/>
    <col min="11005" max="11005" width="24.77734375" style="433" customWidth="1"/>
    <col min="11006" max="11014" width="10" style="433" customWidth="1"/>
    <col min="11015" max="11015" width="0.6640625" style="433" customWidth="1"/>
    <col min="11016" max="11016" width="10" style="433" customWidth="1"/>
    <col min="11017" max="11017" width="0.6640625" style="433" customWidth="1"/>
    <col min="11018" max="11255" width="9" style="433"/>
    <col min="11256" max="11256" width="0.6640625" style="433" customWidth="1"/>
    <col min="11257" max="11260" width="1.21875" style="433" customWidth="1"/>
    <col min="11261" max="11261" width="24.77734375" style="433" customWidth="1"/>
    <col min="11262" max="11270" width="10" style="433" customWidth="1"/>
    <col min="11271" max="11271" width="0.6640625" style="433" customWidth="1"/>
    <col min="11272" max="11272" width="10" style="433" customWidth="1"/>
    <col min="11273" max="11273" width="0.6640625" style="433" customWidth="1"/>
    <col min="11274" max="11511" width="9" style="433"/>
    <col min="11512" max="11512" width="0.6640625" style="433" customWidth="1"/>
    <col min="11513" max="11516" width="1.21875" style="433" customWidth="1"/>
    <col min="11517" max="11517" width="24.77734375" style="433" customWidth="1"/>
    <col min="11518" max="11526" width="10" style="433" customWidth="1"/>
    <col min="11527" max="11527" width="0.6640625" style="433" customWidth="1"/>
    <col min="11528" max="11528" width="10" style="433" customWidth="1"/>
    <col min="11529" max="11529" width="0.6640625" style="433" customWidth="1"/>
    <col min="11530" max="11767" width="9" style="433"/>
    <col min="11768" max="11768" width="0.6640625" style="433" customWidth="1"/>
    <col min="11769" max="11772" width="1.21875" style="433" customWidth="1"/>
    <col min="11773" max="11773" width="24.77734375" style="433" customWidth="1"/>
    <col min="11774" max="11782" width="10" style="433" customWidth="1"/>
    <col min="11783" max="11783" width="0.6640625" style="433" customWidth="1"/>
    <col min="11784" max="11784" width="10" style="433" customWidth="1"/>
    <col min="11785" max="11785" width="0.6640625" style="433" customWidth="1"/>
    <col min="11786" max="12023" width="9" style="433"/>
    <col min="12024" max="12024" width="0.6640625" style="433" customWidth="1"/>
    <col min="12025" max="12028" width="1.21875" style="433" customWidth="1"/>
    <col min="12029" max="12029" width="24.77734375" style="433" customWidth="1"/>
    <col min="12030" max="12038" width="10" style="433" customWidth="1"/>
    <col min="12039" max="12039" width="0.6640625" style="433" customWidth="1"/>
    <col min="12040" max="12040" width="10" style="433" customWidth="1"/>
    <col min="12041" max="12041" width="0.6640625" style="433" customWidth="1"/>
    <col min="12042" max="12279" width="9" style="433"/>
    <col min="12280" max="12280" width="0.6640625" style="433" customWidth="1"/>
    <col min="12281" max="12284" width="1.21875" style="433" customWidth="1"/>
    <col min="12285" max="12285" width="24.77734375" style="433" customWidth="1"/>
    <col min="12286" max="12294" width="10" style="433" customWidth="1"/>
    <col min="12295" max="12295" width="0.6640625" style="433" customWidth="1"/>
    <col min="12296" max="12296" width="10" style="433" customWidth="1"/>
    <col min="12297" max="12297" width="0.6640625" style="433" customWidth="1"/>
    <col min="12298" max="12535" width="9" style="433"/>
    <col min="12536" max="12536" width="0.6640625" style="433" customWidth="1"/>
    <col min="12537" max="12540" width="1.21875" style="433" customWidth="1"/>
    <col min="12541" max="12541" width="24.77734375" style="433" customWidth="1"/>
    <col min="12542" max="12550" width="10" style="433" customWidth="1"/>
    <col min="12551" max="12551" width="0.6640625" style="433" customWidth="1"/>
    <col min="12552" max="12552" width="10" style="433" customWidth="1"/>
    <col min="12553" max="12553" width="0.6640625" style="433" customWidth="1"/>
    <col min="12554" max="12791" width="9" style="433"/>
    <col min="12792" max="12792" width="0.6640625" style="433" customWidth="1"/>
    <col min="12793" max="12796" width="1.21875" style="433" customWidth="1"/>
    <col min="12797" max="12797" width="24.77734375" style="433" customWidth="1"/>
    <col min="12798" max="12806" width="10" style="433" customWidth="1"/>
    <col min="12807" max="12807" width="0.6640625" style="433" customWidth="1"/>
    <col min="12808" max="12808" width="10" style="433" customWidth="1"/>
    <col min="12809" max="12809" width="0.6640625" style="433" customWidth="1"/>
    <col min="12810" max="13047" width="9" style="433"/>
    <col min="13048" max="13048" width="0.6640625" style="433" customWidth="1"/>
    <col min="13049" max="13052" width="1.21875" style="433" customWidth="1"/>
    <col min="13053" max="13053" width="24.77734375" style="433" customWidth="1"/>
    <col min="13054" max="13062" width="10" style="433" customWidth="1"/>
    <col min="13063" max="13063" width="0.6640625" style="433" customWidth="1"/>
    <col min="13064" max="13064" width="10" style="433" customWidth="1"/>
    <col min="13065" max="13065" width="0.6640625" style="433" customWidth="1"/>
    <col min="13066" max="13303" width="9" style="433"/>
    <col min="13304" max="13304" width="0.6640625" style="433" customWidth="1"/>
    <col min="13305" max="13308" width="1.21875" style="433" customWidth="1"/>
    <col min="13309" max="13309" width="24.77734375" style="433" customWidth="1"/>
    <col min="13310" max="13318" width="10" style="433" customWidth="1"/>
    <col min="13319" max="13319" width="0.6640625" style="433" customWidth="1"/>
    <col min="13320" max="13320" width="10" style="433" customWidth="1"/>
    <col min="13321" max="13321" width="0.6640625" style="433" customWidth="1"/>
    <col min="13322" max="13559" width="9" style="433"/>
    <col min="13560" max="13560" width="0.6640625" style="433" customWidth="1"/>
    <col min="13561" max="13564" width="1.21875" style="433" customWidth="1"/>
    <col min="13565" max="13565" width="24.77734375" style="433" customWidth="1"/>
    <col min="13566" max="13574" width="10" style="433" customWidth="1"/>
    <col min="13575" max="13575" width="0.6640625" style="433" customWidth="1"/>
    <col min="13576" max="13576" width="10" style="433" customWidth="1"/>
    <col min="13577" max="13577" width="0.6640625" style="433" customWidth="1"/>
    <col min="13578" max="13815" width="9" style="433"/>
    <col min="13816" max="13816" width="0.6640625" style="433" customWidth="1"/>
    <col min="13817" max="13820" width="1.21875" style="433" customWidth="1"/>
    <col min="13821" max="13821" width="24.77734375" style="433" customWidth="1"/>
    <col min="13822" max="13830" width="10" style="433" customWidth="1"/>
    <col min="13831" max="13831" width="0.6640625" style="433" customWidth="1"/>
    <col min="13832" max="13832" width="10" style="433" customWidth="1"/>
    <col min="13833" max="13833" width="0.6640625" style="433" customWidth="1"/>
    <col min="13834" max="14071" width="9" style="433"/>
    <col min="14072" max="14072" width="0.6640625" style="433" customWidth="1"/>
    <col min="14073" max="14076" width="1.21875" style="433" customWidth="1"/>
    <col min="14077" max="14077" width="24.77734375" style="433" customWidth="1"/>
    <col min="14078" max="14086" width="10" style="433" customWidth="1"/>
    <col min="14087" max="14087" width="0.6640625" style="433" customWidth="1"/>
    <col min="14088" max="14088" width="10" style="433" customWidth="1"/>
    <col min="14089" max="14089" width="0.6640625" style="433" customWidth="1"/>
    <col min="14090" max="14327" width="9" style="433"/>
    <col min="14328" max="14328" width="0.6640625" style="433" customWidth="1"/>
    <col min="14329" max="14332" width="1.21875" style="433" customWidth="1"/>
    <col min="14333" max="14333" width="24.77734375" style="433" customWidth="1"/>
    <col min="14334" max="14342" width="10" style="433" customWidth="1"/>
    <col min="14343" max="14343" width="0.6640625" style="433" customWidth="1"/>
    <col min="14344" max="14344" width="10" style="433" customWidth="1"/>
    <col min="14345" max="14345" width="0.6640625" style="433" customWidth="1"/>
    <col min="14346" max="14583" width="9" style="433"/>
    <col min="14584" max="14584" width="0.6640625" style="433" customWidth="1"/>
    <col min="14585" max="14588" width="1.21875" style="433" customWidth="1"/>
    <col min="14589" max="14589" width="24.77734375" style="433" customWidth="1"/>
    <col min="14590" max="14598" width="10" style="433" customWidth="1"/>
    <col min="14599" max="14599" width="0.6640625" style="433" customWidth="1"/>
    <col min="14600" max="14600" width="10" style="433" customWidth="1"/>
    <col min="14601" max="14601" width="0.6640625" style="433" customWidth="1"/>
    <col min="14602" max="14839" width="9" style="433"/>
    <col min="14840" max="14840" width="0.6640625" style="433" customWidth="1"/>
    <col min="14841" max="14844" width="1.21875" style="433" customWidth="1"/>
    <col min="14845" max="14845" width="24.77734375" style="433" customWidth="1"/>
    <col min="14846" max="14854" width="10" style="433" customWidth="1"/>
    <col min="14855" max="14855" width="0.6640625" style="433" customWidth="1"/>
    <col min="14856" max="14856" width="10" style="433" customWidth="1"/>
    <col min="14857" max="14857" width="0.6640625" style="433" customWidth="1"/>
    <col min="14858" max="15095" width="9" style="433"/>
    <col min="15096" max="15096" width="0.6640625" style="433" customWidth="1"/>
    <col min="15097" max="15100" width="1.21875" style="433" customWidth="1"/>
    <col min="15101" max="15101" width="24.77734375" style="433" customWidth="1"/>
    <col min="15102" max="15110" width="10" style="433" customWidth="1"/>
    <col min="15111" max="15111" width="0.6640625" style="433" customWidth="1"/>
    <col min="15112" max="15112" width="10" style="433" customWidth="1"/>
    <col min="15113" max="15113" width="0.6640625" style="433" customWidth="1"/>
    <col min="15114" max="15351" width="9" style="433"/>
    <col min="15352" max="15352" width="0.6640625" style="433" customWidth="1"/>
    <col min="15353" max="15356" width="1.21875" style="433" customWidth="1"/>
    <col min="15357" max="15357" width="24.77734375" style="433" customWidth="1"/>
    <col min="15358" max="15366" width="10" style="433" customWidth="1"/>
    <col min="15367" max="15367" width="0.6640625" style="433" customWidth="1"/>
    <col min="15368" max="15368" width="10" style="433" customWidth="1"/>
    <col min="15369" max="15369" width="0.6640625" style="433" customWidth="1"/>
    <col min="15370" max="15607" width="9" style="433"/>
    <col min="15608" max="15608" width="0.6640625" style="433" customWidth="1"/>
    <col min="15609" max="15612" width="1.21875" style="433" customWidth="1"/>
    <col min="15613" max="15613" width="24.77734375" style="433" customWidth="1"/>
    <col min="15614" max="15622" width="10" style="433" customWidth="1"/>
    <col min="15623" max="15623" width="0.6640625" style="433" customWidth="1"/>
    <col min="15624" max="15624" width="10" style="433" customWidth="1"/>
    <col min="15625" max="15625" width="0.6640625" style="433" customWidth="1"/>
    <col min="15626" max="15863" width="9" style="433"/>
    <col min="15864" max="15864" width="0.6640625" style="433" customWidth="1"/>
    <col min="15865" max="15868" width="1.21875" style="433" customWidth="1"/>
    <col min="15869" max="15869" width="24.77734375" style="433" customWidth="1"/>
    <col min="15870" max="15878" width="10" style="433" customWidth="1"/>
    <col min="15879" max="15879" width="0.6640625" style="433" customWidth="1"/>
    <col min="15880" max="15880" width="10" style="433" customWidth="1"/>
    <col min="15881" max="15881" width="0.6640625" style="433" customWidth="1"/>
    <col min="15882" max="16119" width="9" style="433"/>
    <col min="16120" max="16120" width="0.6640625" style="433" customWidth="1"/>
    <col min="16121" max="16124" width="1.21875" style="433" customWidth="1"/>
    <col min="16125" max="16125" width="24.77734375" style="433" customWidth="1"/>
    <col min="16126" max="16134" width="10" style="433" customWidth="1"/>
    <col min="16135" max="16135" width="0.6640625" style="433" customWidth="1"/>
    <col min="16136" max="16136" width="10" style="433" customWidth="1"/>
    <col min="16137" max="16137" width="0.6640625" style="433" customWidth="1"/>
    <col min="16138" max="16384" width="9" style="433"/>
  </cols>
  <sheetData>
    <row r="1" spans="1:19" ht="12" customHeight="1">
      <c r="A1" s="441"/>
      <c r="B1" s="441"/>
      <c r="C1" s="441"/>
      <c r="D1" s="441"/>
      <c r="E1" s="431"/>
      <c r="F1" s="441"/>
      <c r="G1" s="441"/>
      <c r="H1" s="457"/>
      <c r="I1" s="457"/>
      <c r="J1" s="457"/>
      <c r="K1" s="457" t="s">
        <v>228</v>
      </c>
    </row>
    <row r="2" spans="1:19" ht="12" customHeight="1">
      <c r="A2" s="434" t="s">
        <v>183</v>
      </c>
      <c r="B2" s="434"/>
      <c r="C2" s="434"/>
      <c r="D2" s="434"/>
      <c r="E2" s="451">
        <v>2022.9</v>
      </c>
      <c r="F2" s="452">
        <v>2023.3</v>
      </c>
      <c r="G2" s="451">
        <v>2023.9</v>
      </c>
      <c r="H2" s="452">
        <v>2024.3</v>
      </c>
      <c r="I2" s="451">
        <v>2024.9</v>
      </c>
      <c r="J2" s="452">
        <v>2025.3</v>
      </c>
      <c r="K2" s="451">
        <v>2025.9</v>
      </c>
    </row>
    <row r="3" spans="1:19" ht="12" customHeight="1">
      <c r="A3" s="441"/>
      <c r="B3" s="441"/>
      <c r="C3" s="441"/>
      <c r="D3" s="441"/>
      <c r="E3" s="441"/>
      <c r="F3" s="441"/>
      <c r="G3" s="441"/>
      <c r="H3" s="441"/>
      <c r="I3" s="441"/>
      <c r="J3" s="441"/>
      <c r="K3" s="441"/>
    </row>
    <row r="4" spans="1:19" ht="12" customHeight="1">
      <c r="A4" s="441" t="s">
        <v>229</v>
      </c>
      <c r="B4" s="441"/>
      <c r="C4" s="441"/>
      <c r="D4" s="441"/>
      <c r="E4" s="465"/>
      <c r="F4" s="465"/>
      <c r="G4" s="465"/>
      <c r="H4" s="465"/>
      <c r="I4" s="465"/>
      <c r="J4" s="465"/>
      <c r="K4" s="465"/>
    </row>
    <row r="5" spans="1:19" ht="12" customHeight="1">
      <c r="A5" s="441"/>
      <c r="B5" s="442" t="s">
        <v>177</v>
      </c>
      <c r="C5" s="442"/>
      <c r="D5" s="442"/>
      <c r="E5" s="546">
        <v>1344</v>
      </c>
      <c r="F5" s="546">
        <v>2939</v>
      </c>
      <c r="G5" s="546">
        <v>1714</v>
      </c>
      <c r="H5" s="546">
        <v>3045</v>
      </c>
      <c r="I5" s="546">
        <v>1290</v>
      </c>
      <c r="J5" s="546">
        <v>10500</v>
      </c>
      <c r="K5" s="546">
        <v>14329</v>
      </c>
      <c r="L5" s="491"/>
      <c r="M5" s="491"/>
      <c r="N5" s="491"/>
      <c r="O5" s="491"/>
      <c r="P5" s="491"/>
      <c r="Q5" s="491"/>
      <c r="R5" s="491"/>
      <c r="S5" s="491"/>
    </row>
    <row r="6" spans="1:19" ht="12" customHeight="1">
      <c r="A6" s="441"/>
      <c r="B6" s="528" t="s">
        <v>178</v>
      </c>
      <c r="C6" s="528"/>
      <c r="D6" s="528"/>
      <c r="E6" s="476">
        <v>1121</v>
      </c>
      <c r="F6" s="549">
        <v>2615</v>
      </c>
      <c r="G6" s="476">
        <v>1184</v>
      </c>
      <c r="H6" s="549">
        <v>4665</v>
      </c>
      <c r="I6" s="476">
        <v>2738</v>
      </c>
      <c r="J6" s="549">
        <v>7893</v>
      </c>
      <c r="K6" s="476">
        <v>3025</v>
      </c>
      <c r="L6" s="491"/>
      <c r="M6" s="491"/>
      <c r="N6" s="491"/>
      <c r="O6" s="491"/>
      <c r="P6" s="491"/>
      <c r="Q6" s="491"/>
      <c r="R6" s="491"/>
      <c r="S6" s="491"/>
    </row>
    <row r="7" spans="1:19" ht="12" customHeight="1">
      <c r="A7" s="441"/>
      <c r="B7" s="441" t="s">
        <v>230</v>
      </c>
      <c r="C7" s="441"/>
      <c r="D7" s="441"/>
      <c r="E7" s="496">
        <v>223</v>
      </c>
      <c r="F7" s="496">
        <v>324</v>
      </c>
      <c r="G7" s="496">
        <v>530</v>
      </c>
      <c r="H7" s="496">
        <v>-1620</v>
      </c>
      <c r="I7" s="496">
        <v>-1448</v>
      </c>
      <c r="J7" s="496">
        <v>2607</v>
      </c>
      <c r="K7" s="496">
        <v>11304</v>
      </c>
      <c r="L7" s="491"/>
      <c r="M7" s="491"/>
      <c r="N7" s="491"/>
      <c r="O7" s="491"/>
      <c r="P7" s="491"/>
      <c r="Q7" s="491"/>
      <c r="R7" s="491"/>
      <c r="S7" s="491"/>
    </row>
    <row r="8" spans="1:19" ht="12" customHeight="1">
      <c r="A8" s="441"/>
      <c r="B8" s="441"/>
      <c r="C8" s="441"/>
      <c r="D8" s="441"/>
      <c r="E8" s="496"/>
      <c r="F8" s="496"/>
      <c r="G8" s="465"/>
      <c r="H8" s="465"/>
      <c r="I8" s="465"/>
      <c r="J8" s="496"/>
      <c r="K8" s="465"/>
    </row>
    <row r="9" spans="1:19" ht="12" customHeight="1">
      <c r="A9" s="441" t="s">
        <v>231</v>
      </c>
      <c r="B9" s="443"/>
      <c r="C9" s="443"/>
      <c r="D9" s="443"/>
      <c r="E9" s="559"/>
      <c r="F9" s="580"/>
      <c r="G9" s="559"/>
      <c r="H9" s="559"/>
      <c r="I9" s="559"/>
      <c r="J9" s="476"/>
      <c r="K9" s="559"/>
    </row>
    <row r="10" spans="1:19" ht="12" customHeight="1">
      <c r="A10" s="441"/>
      <c r="B10" s="442" t="s">
        <v>232</v>
      </c>
      <c r="C10" s="442"/>
      <c r="D10" s="442"/>
      <c r="E10" s="546">
        <v>154379</v>
      </c>
      <c r="F10" s="540">
        <v>166915</v>
      </c>
      <c r="G10" s="546">
        <v>227662</v>
      </c>
      <c r="H10" s="546">
        <v>481545</v>
      </c>
      <c r="I10" s="546">
        <v>388974</v>
      </c>
      <c r="J10" s="546">
        <v>395180</v>
      </c>
      <c r="K10" s="546">
        <v>558955</v>
      </c>
    </row>
    <row r="11" spans="1:19" ht="12" customHeight="1">
      <c r="A11" s="441"/>
      <c r="B11" s="527" t="s">
        <v>233</v>
      </c>
      <c r="C11" s="527"/>
      <c r="D11" s="527"/>
      <c r="E11" s="581">
        <v>6.0000000000000001E-3</v>
      </c>
      <c r="F11" s="582">
        <v>6.0000000000000001E-3</v>
      </c>
      <c r="G11" s="581">
        <v>5.0000000000000001E-3</v>
      </c>
      <c r="H11" s="582">
        <v>5.0000000000000001E-3</v>
      </c>
      <c r="I11" s="582">
        <v>6.0000000000000001E-3</v>
      </c>
      <c r="J11" s="581">
        <v>6.0000000000000001E-3</v>
      </c>
      <c r="K11" s="582">
        <v>8.0000000000000002E-3</v>
      </c>
    </row>
    <row r="12" spans="1:19" ht="12" customHeight="1">
      <c r="A12" s="441"/>
      <c r="B12" s="528" t="s">
        <v>234</v>
      </c>
      <c r="C12" s="528"/>
      <c r="D12" s="528"/>
      <c r="E12" s="568">
        <v>82.1</v>
      </c>
      <c r="F12" s="567">
        <v>35.9</v>
      </c>
      <c r="G12" s="567" t="s">
        <v>32</v>
      </c>
      <c r="H12" s="583">
        <v>13.8</v>
      </c>
      <c r="I12" s="567">
        <v>16.2</v>
      </c>
      <c r="J12" s="567">
        <v>7.1</v>
      </c>
      <c r="K12" s="567">
        <v>23.4</v>
      </c>
    </row>
    <row r="13" spans="1:19" ht="12" customHeight="1">
      <c r="A13" s="441"/>
      <c r="B13" s="458" t="s">
        <v>235</v>
      </c>
      <c r="C13" s="458"/>
      <c r="D13" s="458"/>
      <c r="E13" s="497">
        <v>62663</v>
      </c>
      <c r="F13" s="497">
        <v>74976</v>
      </c>
      <c r="G13" s="621">
        <v>134703</v>
      </c>
      <c r="H13" s="497">
        <v>368124</v>
      </c>
      <c r="I13" s="621">
        <v>271944.13376300002</v>
      </c>
      <c r="J13" s="497">
        <v>275678</v>
      </c>
      <c r="K13" s="621">
        <v>381985</v>
      </c>
    </row>
    <row r="14" spans="1:19" ht="12" customHeight="1">
      <c r="A14" s="441"/>
      <c r="B14" s="441"/>
      <c r="C14" s="441"/>
      <c r="D14" s="441"/>
      <c r="E14" s="496"/>
      <c r="F14" s="496"/>
      <c r="G14" s="496"/>
      <c r="H14" s="556"/>
      <c r="I14" s="556"/>
      <c r="J14" s="496"/>
      <c r="K14" s="556"/>
    </row>
    <row r="15" spans="1:19" ht="12" customHeight="1">
      <c r="A15" s="441"/>
      <c r="B15" s="441"/>
      <c r="C15" s="441"/>
      <c r="D15" s="441"/>
      <c r="E15" s="456"/>
      <c r="F15" s="456"/>
      <c r="G15" s="456"/>
      <c r="H15" s="456"/>
      <c r="I15" s="456"/>
      <c r="J15" s="456"/>
      <c r="K15" s="456"/>
    </row>
    <row r="16" spans="1:19" ht="12" customHeight="1">
      <c r="A16" s="430" t="s">
        <v>236</v>
      </c>
      <c r="B16" s="536"/>
      <c r="C16" s="430" t="s">
        <v>237</v>
      </c>
      <c r="D16" s="430"/>
    </row>
  </sheetData>
  <phoneticPr fontId="2"/>
  <pageMargins left="0.70866141732283472" right="0.70866141732283472" top="0.74803149606299213" bottom="0.74803149606299213" header="0.31496062992125984" footer="0.31496062992125984"/>
  <pageSetup paperSize="9" scale="77" orientation="portrait" r:id="rId1"/>
  <headerFoot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1e10441-fe70-4246-80e8-6d03cdb9457e">
      <Terms xmlns="http://schemas.microsoft.com/office/infopath/2007/PartnerControls"/>
    </lcf76f155ced4ddcb4097134ff3c332f>
    <TaxCatchAll xmlns="b4d263bd-cfa0-4089-88dd-2dcb443986d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9421B57EF905047B1BC01BED26977FD" ma:contentTypeVersion="14" ma:contentTypeDescription="新しいドキュメントを作成します。" ma:contentTypeScope="" ma:versionID="e418ba22054f77ce34b00d46cf5c258f">
  <xsd:schema xmlns:xsd="http://www.w3.org/2001/XMLSchema" xmlns:xs="http://www.w3.org/2001/XMLSchema" xmlns:p="http://schemas.microsoft.com/office/2006/metadata/properties" xmlns:ns2="71e10441-fe70-4246-80e8-6d03cdb9457e" xmlns:ns3="b4d263bd-cfa0-4089-88dd-2dcb443986d5" targetNamespace="http://schemas.microsoft.com/office/2006/metadata/properties" ma:root="true" ma:fieldsID="ec024c4957ee52e4d9f593041f5926f1" ns2:_="" ns3:_="">
    <xsd:import namespace="71e10441-fe70-4246-80e8-6d03cdb9457e"/>
    <xsd:import namespace="b4d263bd-cfa0-4089-88dd-2dcb443986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e10441-fe70-4246-80e8-6d03cdb945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fc03f26f-feaa-470b-b323-e5a8b7a974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d263bd-cfa0-4089-88dd-2dcb443986d5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421ea779-8c5b-4451-985d-5db731fafda1}" ma:internalName="TaxCatchAll" ma:showField="CatchAllData" ma:web="b4d263bd-cfa0-4089-88dd-2dcb443986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F81A73-D5A9-4A4B-B65A-8651310518D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E61052-F0E7-4EC6-B3A3-E09F1F1EFF56}">
  <ds:schemaRefs>
    <ds:schemaRef ds:uri="http://schemas.microsoft.com/office/2006/metadata/properties"/>
    <ds:schemaRef ds:uri="http://schemas.microsoft.com/office/infopath/2007/PartnerControls"/>
    <ds:schemaRef ds:uri="71e10441-fe70-4246-80e8-6d03cdb9457e"/>
    <ds:schemaRef ds:uri="b4d263bd-cfa0-4089-88dd-2dcb443986d5"/>
  </ds:schemaRefs>
</ds:datastoreItem>
</file>

<file path=customXml/itemProps3.xml><?xml version="1.0" encoding="utf-8"?>
<ds:datastoreItem xmlns:ds="http://schemas.openxmlformats.org/officeDocument/2006/customXml" ds:itemID="{EC2E3364-9C59-48AA-818B-4E8CDA3F91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e10441-fe70-4246-80e8-6d03cdb9457e"/>
    <ds:schemaRef ds:uri="b4d263bd-cfa0-4089-88dd-2dcb443986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12</vt:i4>
      </vt:variant>
    </vt:vector>
  </HeadingPairs>
  <TitlesOfParts>
    <vt:vector size="26" baseType="lpstr">
      <vt:lpstr>表紙、目次(p.1)</vt:lpstr>
      <vt:lpstr>貸借対照表（連結 日本基準）(p.2) </vt:lpstr>
      <vt:lpstr>貸借対照表（連結 IFRS）(p.3)</vt:lpstr>
      <vt:lpstr>損益計算書（連結 日本基準）(p.4) </vt:lpstr>
      <vt:lpstr>損益計算書（連結 IFRS）(p.5)</vt:lpstr>
      <vt:lpstr>セグメント情報(p.6)</vt:lpstr>
      <vt:lpstr>主要グループ子会社(p.7)</vt:lpstr>
      <vt:lpstr>主要経営指標(p.8)</vt:lpstr>
      <vt:lpstr>補足指標(p.9)</vt:lpstr>
      <vt:lpstr>受注高、完工高、手持工事高(p.10)</vt:lpstr>
      <vt:lpstr>事業別連結業績の概要(p.11)  </vt:lpstr>
      <vt:lpstr>損益計算書・純資産の部・有利子負債</vt:lpstr>
      <vt:lpstr>中間期損益計算書・純資産の部</vt:lpstr>
      <vt:lpstr>別紙（６８期工事損益悪化要因）</vt:lpstr>
      <vt:lpstr>'セグメント情報(p.6)'!Print_Area</vt:lpstr>
      <vt:lpstr>'事業別連結業績の概要(p.11)  '!Print_Area</vt:lpstr>
      <vt:lpstr>'主要グループ子会社(p.7)'!Print_Area</vt:lpstr>
      <vt:lpstr>'主要経営指標(p.8)'!Print_Area</vt:lpstr>
      <vt:lpstr>'受注高、完工高、手持工事高(p.10)'!Print_Area</vt:lpstr>
      <vt:lpstr>'損益計算書（連結 IFRS）(p.5)'!Print_Area</vt:lpstr>
      <vt:lpstr>'損益計算書（連結 日本基準）(p.4) '!Print_Area</vt:lpstr>
      <vt:lpstr>損益計算書・純資産の部・有利子負債!Print_Area</vt:lpstr>
      <vt:lpstr>'貸借対照表（連結 IFRS）(p.3)'!Print_Area</vt:lpstr>
      <vt:lpstr>'貸借対照表（連結 日本基準）(p.2) '!Print_Area</vt:lpstr>
      <vt:lpstr>'表紙、目次(p.1)'!Print_Area</vt:lpstr>
      <vt:lpstr>'補足指標(p.9)'!Print_Area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前田建設工業株式会社</dc:creator>
  <cp:keywords/>
  <dc:description/>
  <cp:lastModifiedBy>濱井 大輔（INF）</cp:lastModifiedBy>
  <cp:revision/>
  <cp:lastPrinted>2025-11-13T04:42:59Z</cp:lastPrinted>
  <dcterms:created xsi:type="dcterms:W3CDTF">2013-05-08T01:47:18Z</dcterms:created>
  <dcterms:modified xsi:type="dcterms:W3CDTF">2025-11-13T04:47:01Z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 id">
    <vt:lpwstr>9c5271f3-aace-4882-8753-e5c1db49ed1b</vt:lpwstr>
  </property>
  <property fmtid="{D5CDD505-2E9C-101B-9397-08002B2CF9AE}" pid="3" name="Workbook type">
    <vt:lpwstr>Custom</vt:lpwstr>
  </property>
  <property fmtid="{D5CDD505-2E9C-101B-9397-08002B2CF9AE}" pid="4" name="Workbook version">
    <vt:lpwstr>Custom</vt:lpwstr>
  </property>
  <property fmtid="{D5CDD505-2E9C-101B-9397-08002B2CF9AE}" pid="5" name="ContentTypeId">
    <vt:lpwstr>0x01010079421B57EF905047B1BC01BED26977FD</vt:lpwstr>
  </property>
  <property fmtid="{D5CDD505-2E9C-101B-9397-08002B2CF9AE}" pid="6" name="MediaServiceImageTags">
    <vt:lpwstr/>
  </property>
</Properties>
</file>